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ibae.sharepoint.com/sites/CIDSHUGO/Documentos Compartilhados/Projetos CIDS/Documentos/3 Projetos CIDS/Metas/Novo Modelo 05.2025 planilha SES/Dados mês 04.2026/"/>
    </mc:Choice>
  </mc:AlternateContent>
  <xr:revisionPtr revIDLastSave="6653" documentId="8_{C2B80F24-88BA-4523-AE4D-981B9904857F}" xr6:coauthVersionLast="47" xr6:coauthVersionMax="47" xr10:uidLastSave="{72C1E249-DA2A-42E5-B939-3F8CA210D06F}"/>
  <bookViews>
    <workbookView xWindow="-103" yWindow="-103" windowWidth="16663" windowHeight="8863" xr2:uid="{1C071A3F-1CBE-4FBB-A0F4-2270101A0D5E}"/>
  </bookViews>
  <sheets>
    <sheet name="Produção 2026" sheetId="1" r:id="rId1"/>
    <sheet name="Indicadores de Efetividade" sheetId="3" r:id="rId2"/>
    <sheet name="Indicadores de Desempenho" sheetId="2" r:id="rId3"/>
    <sheet name="Folha1" sheetId="5" state="hidden" r:id="rId4"/>
    <sheet name="Planilha1" sheetId="4" state="hidden" r:id="rId5"/>
    <sheet name="Planilha2" sheetId="6" state="hidden" r:id="rId6"/>
    <sheet name="Planilha3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F8" i="2"/>
  <c r="G39" i="2"/>
  <c r="G38" i="2"/>
  <c r="H105" i="3"/>
  <c r="H104" i="3"/>
  <c r="H103" i="3"/>
  <c r="H102" i="3"/>
  <c r="H97" i="3"/>
  <c r="H94" i="3"/>
  <c r="H91" i="3"/>
  <c r="H88" i="3"/>
  <c r="H85" i="3"/>
  <c r="H82" i="3"/>
  <c r="H79" i="3"/>
  <c r="H76" i="3"/>
  <c r="H73" i="3"/>
  <c r="H68" i="3"/>
  <c r="H65" i="3"/>
  <c r="H62" i="3"/>
  <c r="E141" i="1"/>
  <c r="F141" i="1"/>
  <c r="F129" i="1"/>
  <c r="F124" i="1"/>
  <c r="F115" i="1"/>
  <c r="F97" i="1"/>
  <c r="F75" i="1"/>
  <c r="F32" i="1"/>
  <c r="E18" i="1"/>
  <c r="F18" i="1"/>
  <c r="H45" i="3"/>
  <c r="H54" i="3"/>
  <c r="H53" i="3"/>
  <c r="H49" i="3"/>
  <c r="D18" i="1"/>
  <c r="C18" i="1"/>
  <c r="G31" i="2"/>
  <c r="G8" i="1"/>
  <c r="H8" i="1"/>
  <c r="F11" i="2"/>
  <c r="F105" i="3"/>
  <c r="F104" i="3"/>
  <c r="F103" i="3"/>
  <c r="F102" i="3"/>
  <c r="F97" i="3"/>
  <c r="F94" i="3"/>
  <c r="F91" i="3"/>
  <c r="F88" i="3"/>
  <c r="F85" i="3"/>
  <c r="F82" i="3"/>
  <c r="F79" i="3"/>
  <c r="F76" i="3"/>
  <c r="F73" i="3"/>
  <c r="F68" i="3"/>
  <c r="F65" i="3"/>
  <c r="F62" i="3"/>
  <c r="F54" i="3"/>
  <c r="F53" i="3"/>
  <c r="F51" i="3"/>
  <c r="F45" i="3"/>
  <c r="E32" i="1"/>
  <c r="E25" i="1"/>
  <c r="D144" i="3"/>
  <c r="D105" i="3"/>
  <c r="D104" i="3"/>
  <c r="D103" i="3"/>
  <c r="D102" i="3"/>
  <c r="D97" i="3"/>
  <c r="D94" i="3"/>
  <c r="D91" i="3"/>
  <c r="D88" i="3"/>
  <c r="D85" i="3"/>
  <c r="D82" i="3"/>
  <c r="D79" i="3"/>
  <c r="D76" i="3"/>
  <c r="D73" i="3"/>
  <c r="D68" i="3"/>
  <c r="D65" i="3"/>
  <c r="D62" i="3"/>
  <c r="E46" i="2"/>
  <c r="D58" i="3"/>
  <c r="D54" i="3"/>
  <c r="D52" i="3"/>
  <c r="E35" i="2"/>
  <c r="E34" i="2" s="1"/>
  <c r="E9" i="2"/>
  <c r="D135" i="1"/>
  <c r="D109" i="1"/>
  <c r="D97" i="1"/>
  <c r="D52" i="2"/>
  <c r="C52" i="2"/>
  <c r="C49" i="2"/>
  <c r="C46" i="2"/>
  <c r="C43" i="2"/>
  <c r="C40" i="2"/>
  <c r="C37" i="2"/>
  <c r="C34" i="2"/>
  <c r="C31" i="2"/>
  <c r="C25" i="2"/>
  <c r="C17" i="2"/>
  <c r="C14" i="2"/>
  <c r="C11" i="2"/>
  <c r="C8" i="2"/>
  <c r="C5" i="2"/>
  <c r="C137" i="3"/>
  <c r="B94" i="3"/>
  <c r="B91" i="3"/>
  <c r="B88" i="3"/>
  <c r="B85" i="3"/>
  <c r="B82" i="3"/>
  <c r="B79" i="3"/>
  <c r="B76" i="3"/>
  <c r="B73" i="3"/>
  <c r="B68" i="3"/>
  <c r="B105" i="3" s="1"/>
  <c r="B65" i="3"/>
  <c r="B103" i="3" s="1"/>
  <c r="B62" i="3"/>
  <c r="B102" i="3" s="1"/>
  <c r="D25" i="2"/>
  <c r="D35" i="2"/>
  <c r="D46" i="2"/>
  <c r="D9" i="2"/>
  <c r="N49" i="3"/>
  <c r="N51" i="3" s="1"/>
  <c r="P49" i="3"/>
  <c r="P51" i="3" s="1"/>
  <c r="R49" i="3"/>
  <c r="R51" i="3" s="1"/>
  <c r="T49" i="3"/>
  <c r="T51" i="3" s="1"/>
  <c r="V49" i="3"/>
  <c r="V51" i="3" s="1"/>
  <c r="X49" i="3"/>
  <c r="X51" i="3" s="1"/>
  <c r="B54" i="3"/>
  <c r="B58" i="3"/>
  <c r="J58" i="3"/>
  <c r="L58" i="3"/>
  <c r="N58" i="3"/>
  <c r="P58" i="3"/>
  <c r="R58" i="3"/>
  <c r="T58" i="3"/>
  <c r="V58" i="3"/>
  <c r="X58" i="3"/>
  <c r="C136" i="1"/>
  <c r="C135" i="1"/>
  <c r="C97" i="1"/>
  <c r="J54" i="3"/>
  <c r="L54" i="3"/>
  <c r="R54" i="3"/>
  <c r="T54" i="3"/>
  <c r="V54" i="3"/>
  <c r="X54" i="3"/>
  <c r="I8" i="1"/>
  <c r="H51" i="3" s="1"/>
  <c r="J8" i="1"/>
  <c r="K8" i="1"/>
  <c r="J49" i="3" s="1"/>
  <c r="J51" i="3" s="1"/>
  <c r="C25" i="1"/>
  <c r="D25" i="1"/>
  <c r="G25" i="1"/>
  <c r="H25" i="1"/>
  <c r="I25" i="1"/>
  <c r="J25" i="1"/>
  <c r="K25" i="1"/>
  <c r="C32" i="1"/>
  <c r="D32" i="1"/>
  <c r="G32" i="1"/>
  <c r="H32" i="1"/>
  <c r="I32" i="1"/>
  <c r="J32" i="1"/>
  <c r="K32" i="1"/>
  <c r="N32" i="1"/>
  <c r="K39" i="1"/>
  <c r="K75" i="1"/>
  <c r="K90" i="1"/>
  <c r="C124" i="1"/>
  <c r="D124" i="1"/>
  <c r="C129" i="1"/>
  <c r="D129" i="1"/>
  <c r="D5" i="2"/>
  <c r="E5" i="2"/>
  <c r="D17" i="3" s="1"/>
  <c r="H5" i="2"/>
  <c r="I5" i="2"/>
  <c r="J5" i="2"/>
  <c r="K5" i="2"/>
  <c r="L5" i="2"/>
  <c r="M5" i="2"/>
  <c r="N5" i="2"/>
  <c r="O5" i="2"/>
  <c r="O12" i="2" s="1"/>
  <c r="I8" i="2"/>
  <c r="J8" i="2"/>
  <c r="K8" i="2"/>
  <c r="L8" i="2"/>
  <c r="M8" i="2"/>
  <c r="N8" i="2"/>
  <c r="O8" i="2"/>
  <c r="E14" i="2"/>
  <c r="I14" i="2"/>
  <c r="J14" i="2"/>
  <c r="K14" i="2"/>
  <c r="L14" i="2"/>
  <c r="M14" i="2"/>
  <c r="N14" i="2"/>
  <c r="O14" i="2"/>
  <c r="D14" i="2"/>
  <c r="E17" i="2"/>
  <c r="I17" i="2"/>
  <c r="J17" i="2"/>
  <c r="K17" i="2"/>
  <c r="L17" i="2"/>
  <c r="M17" i="2"/>
  <c r="N17" i="2"/>
  <c r="O17" i="2"/>
  <c r="D17" i="2"/>
  <c r="E31" i="2"/>
  <c r="F31" i="2"/>
  <c r="H31" i="2"/>
  <c r="I31" i="2"/>
  <c r="J31" i="2"/>
  <c r="K31" i="2"/>
  <c r="L31" i="2"/>
  <c r="M31" i="2"/>
  <c r="N31" i="2"/>
  <c r="O31" i="2"/>
  <c r="D31" i="2"/>
  <c r="G34" i="2"/>
  <c r="H34" i="2"/>
  <c r="I34" i="2"/>
  <c r="J34" i="2"/>
  <c r="K34" i="2"/>
  <c r="L34" i="2"/>
  <c r="M34" i="2"/>
  <c r="N34" i="2"/>
  <c r="O34" i="2"/>
  <c r="D34" i="2"/>
  <c r="E37" i="2"/>
  <c r="F37" i="2"/>
  <c r="G37" i="2"/>
  <c r="H37" i="2"/>
  <c r="J37" i="2"/>
  <c r="K37" i="2"/>
  <c r="L37" i="2"/>
  <c r="M37" i="2"/>
  <c r="N37" i="2"/>
  <c r="O37" i="2"/>
  <c r="D37" i="2"/>
  <c r="E40" i="2"/>
  <c r="F40" i="2"/>
  <c r="G40" i="2"/>
  <c r="H40" i="2"/>
  <c r="I40" i="2"/>
  <c r="J40" i="2"/>
  <c r="K40" i="2"/>
  <c r="L40" i="2"/>
  <c r="M40" i="2"/>
  <c r="N40" i="2"/>
  <c r="O40" i="2"/>
  <c r="D40" i="2"/>
  <c r="F46" i="2"/>
  <c r="G46" i="2"/>
  <c r="H46" i="2"/>
  <c r="I46" i="2"/>
  <c r="J46" i="2"/>
  <c r="K46" i="2"/>
  <c r="L46" i="2"/>
  <c r="M46" i="2"/>
  <c r="N46" i="2"/>
  <c r="O46" i="2"/>
  <c r="E49" i="2"/>
  <c r="F49" i="2"/>
  <c r="G49" i="2"/>
  <c r="H49" i="2"/>
  <c r="I49" i="2"/>
  <c r="J49" i="2"/>
  <c r="K49" i="2"/>
  <c r="L49" i="2"/>
  <c r="M49" i="2"/>
  <c r="N49" i="2"/>
  <c r="O49" i="2"/>
  <c r="D49" i="2"/>
  <c r="H52" i="2"/>
  <c r="I52" i="2"/>
  <c r="J52" i="2"/>
  <c r="K52" i="2"/>
  <c r="L52" i="2"/>
  <c r="M52" i="2"/>
  <c r="N52" i="2"/>
  <c r="O52" i="2"/>
  <c r="E52" i="2"/>
  <c r="F52" i="2"/>
  <c r="D43" i="2"/>
  <c r="E43" i="2"/>
  <c r="F43" i="2"/>
  <c r="K43" i="2"/>
  <c r="L43" i="2"/>
  <c r="M43" i="2"/>
  <c r="N43" i="2"/>
  <c r="O43" i="2"/>
  <c r="I13" i="2"/>
  <c r="I12" i="2"/>
  <c r="B75" i="1"/>
  <c r="B63" i="1"/>
  <c r="C101" i="1"/>
  <c r="N90" i="1"/>
  <c r="N141" i="1"/>
  <c r="O13" i="2"/>
  <c r="O25" i="2"/>
  <c r="N129" i="1"/>
  <c r="N124" i="1"/>
  <c r="N25" i="1"/>
  <c r="G49" i="5"/>
  <c r="G47" i="5"/>
  <c r="G53" i="5"/>
  <c r="G54" i="5"/>
  <c r="G55" i="5"/>
  <c r="D32" i="5"/>
  <c r="D33" i="5"/>
  <c r="D34" i="5"/>
  <c r="D35" i="5"/>
  <c r="D36" i="5"/>
  <c r="D37" i="5"/>
  <c r="D38" i="5"/>
  <c r="D39" i="5"/>
  <c r="D40" i="5"/>
  <c r="D41" i="5"/>
  <c r="D42" i="5"/>
  <c r="C33" i="5"/>
  <c r="C34" i="5"/>
  <c r="C35" i="5"/>
  <c r="C36" i="5"/>
  <c r="C37" i="5"/>
  <c r="C38" i="5"/>
  <c r="C39" i="5"/>
  <c r="C40" i="5"/>
  <c r="C41" i="5"/>
  <c r="C42" i="5"/>
  <c r="B42" i="5"/>
  <c r="E20" i="5"/>
  <c r="H20" i="5"/>
  <c r="E22" i="5"/>
  <c r="H22" i="5"/>
  <c r="E26" i="5"/>
  <c r="H26" i="5"/>
  <c r="H27" i="5"/>
  <c r="E28" i="5"/>
  <c r="H28" i="5"/>
  <c r="B29" i="5"/>
  <c r="C29" i="5"/>
  <c r="D29" i="5"/>
  <c r="E29" i="5"/>
  <c r="F29" i="5"/>
  <c r="G29" i="5"/>
  <c r="H29" i="5"/>
  <c r="B14" i="7"/>
  <c r="H13" i="7"/>
  <c r="H12" i="7"/>
  <c r="H11" i="7"/>
  <c r="H7" i="7"/>
  <c r="H5" i="7"/>
  <c r="E11" i="7"/>
  <c r="E13" i="7"/>
  <c r="E7" i="7"/>
  <c r="E5" i="7"/>
  <c r="D14" i="7"/>
  <c r="F14" i="7"/>
  <c r="G14" i="7"/>
  <c r="C14" i="7"/>
  <c r="I11" i="2" l="1"/>
  <c r="B97" i="3"/>
  <c r="B104" i="3" s="1"/>
  <c r="O11" i="2"/>
  <c r="E14" i="7"/>
  <c r="H14" i="7"/>
  <c r="M115" i="1" l="1"/>
  <c r="M101" i="1"/>
  <c r="M25" i="2"/>
  <c r="M129" i="1"/>
  <c r="M124" i="1"/>
  <c r="M75" i="1"/>
  <c r="M63" i="1"/>
  <c r="N63" i="1"/>
  <c r="M32" i="1"/>
  <c r="M25" i="1"/>
  <c r="N13" i="2"/>
  <c r="N12" i="2"/>
  <c r="C11" i="5"/>
  <c r="E11" i="5"/>
  <c r="B11" i="5"/>
  <c r="A70" i="4"/>
  <c r="A67" i="4"/>
  <c r="A64" i="4"/>
  <c r="A61" i="4"/>
  <c r="A58" i="4"/>
  <c r="A55" i="4"/>
  <c r="A52" i="4"/>
  <c r="A47" i="4"/>
  <c r="A45" i="4"/>
  <c r="A74" i="4" s="1"/>
  <c r="A73" i="4" s="1"/>
  <c r="A44" i="4"/>
  <c r="A41" i="4"/>
  <c r="D5" i="4"/>
  <c r="I4" i="4"/>
  <c r="I5" i="4"/>
  <c r="I3" i="4"/>
  <c r="D6" i="4"/>
  <c r="D4" i="4"/>
  <c r="E2" i="4"/>
  <c r="M13" i="2"/>
  <c r="L13" i="2"/>
  <c r="M12" i="2"/>
  <c r="L12" i="2"/>
  <c r="N11" i="2" l="1"/>
  <c r="L11" i="2"/>
  <c r="M11" i="2"/>
  <c r="N25" i="2"/>
  <c r="L129" i="1"/>
  <c r="L124" i="1"/>
  <c r="L90" i="1"/>
  <c r="L101" i="1"/>
  <c r="L32" i="1"/>
  <c r="L25" i="1"/>
  <c r="L8" i="1"/>
  <c r="E101" i="1"/>
  <c r="F101" i="1"/>
  <c r="G101" i="1"/>
  <c r="H101" i="1"/>
  <c r="I101" i="1"/>
  <c r="J101" i="1"/>
  <c r="K101" i="1"/>
  <c r="K141" i="1"/>
  <c r="K129" i="1"/>
  <c r="K124" i="1"/>
  <c r="K115" i="1"/>
  <c r="E25" i="2"/>
  <c r="I25" i="2"/>
  <c r="J25" i="2"/>
  <c r="K25" i="2"/>
  <c r="L25" i="2"/>
  <c r="K63" i="1"/>
  <c r="K13" i="2"/>
  <c r="K12" i="2"/>
  <c r="J141" i="1"/>
  <c r="J115" i="1"/>
  <c r="J90" i="1"/>
  <c r="J63" i="1"/>
  <c r="J129" i="1"/>
  <c r="J124" i="1"/>
  <c r="K11" i="2" l="1"/>
  <c r="J43" i="2"/>
  <c r="J12" i="2"/>
  <c r="I141" i="1"/>
  <c r="I129" i="1"/>
  <c r="I124" i="1"/>
  <c r="I115" i="1"/>
  <c r="I90" i="1"/>
  <c r="I75" i="1"/>
  <c r="I63" i="1"/>
  <c r="I43" i="2"/>
  <c r="H129" i="1"/>
  <c r="H124" i="1"/>
  <c r="E75" i="1"/>
  <c r="D75" i="1"/>
  <c r="G63" i="1"/>
  <c r="H43" i="2"/>
  <c r="H25" i="2"/>
  <c r="J13" i="2" l="1"/>
  <c r="J11" i="2" s="1"/>
  <c r="G115" i="1"/>
  <c r="G129" i="1"/>
  <c r="G124" i="1"/>
  <c r="G52" i="2"/>
  <c r="G43" i="2"/>
  <c r="H115" i="1"/>
  <c r="L115" i="1"/>
  <c r="N115" i="1"/>
  <c r="D115" i="1"/>
  <c r="E115" i="1"/>
  <c r="C115" i="1"/>
  <c r="B90" i="1"/>
  <c r="B39" i="1"/>
  <c r="B8" i="1"/>
  <c r="E129" i="1" l="1"/>
  <c r="E124" i="1"/>
  <c r="C141" i="1"/>
  <c r="D141" i="1"/>
  <c r="G141" i="1"/>
  <c r="H141" i="1"/>
  <c r="L141" i="1"/>
  <c r="M141" i="1"/>
  <c r="D101" i="1"/>
  <c r="N101" i="1"/>
  <c r="C90" i="1"/>
  <c r="D90" i="1"/>
  <c r="E90" i="1"/>
  <c r="F90" i="1"/>
  <c r="G90" i="1"/>
  <c r="H90" i="1"/>
  <c r="M90" i="1"/>
  <c r="F39" i="1"/>
  <c r="G75" i="1"/>
  <c r="G39" i="1" s="1"/>
  <c r="H75" i="1"/>
  <c r="J75" i="1"/>
  <c r="L75" i="1"/>
  <c r="N75" i="1"/>
  <c r="C75" i="1"/>
  <c r="C36" i="1" s="1"/>
  <c r="D63" i="1"/>
  <c r="D39" i="1" s="1"/>
  <c r="E63" i="1"/>
  <c r="E39" i="1" s="1"/>
  <c r="H63" i="1"/>
  <c r="L63" i="1"/>
  <c r="M39" i="1"/>
  <c r="C63" i="1"/>
  <c r="H39" i="1"/>
  <c r="I39" i="1"/>
  <c r="J39" i="1"/>
  <c r="L39" i="1"/>
  <c r="N39" i="1"/>
  <c r="C8" i="1"/>
  <c r="D8" i="1"/>
  <c r="M8" i="1"/>
  <c r="L49" i="3" s="1"/>
  <c r="L51" i="3" s="1"/>
  <c r="N8" i="1"/>
  <c r="D3" i="6"/>
  <c r="D49" i="3" l="1"/>
  <c r="E10" i="2"/>
  <c r="E8" i="2" s="1"/>
  <c r="E13" i="2" s="1"/>
  <c r="E11" i="2" s="1"/>
  <c r="D45" i="3" s="1"/>
  <c r="D10" i="2"/>
  <c r="D8" i="2" s="1"/>
  <c r="D13" i="2" s="1"/>
  <c r="D11" i="2" s="1"/>
  <c r="B49" i="3"/>
  <c r="C35" i="1"/>
  <c r="C39" i="1" s="1"/>
  <c r="B53" i="3" l="1"/>
  <c r="B51" i="3"/>
  <c r="D53" i="3"/>
  <c r="D5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tc={8D084BC1-095A-46E9-ACCD-FA78ECC6A2B7}</author>
    <author>tc={79A92AB3-2332-424E-8498-3134FE66C88D}</author>
  </authors>
  <commentList>
    <comment ref="R144" authorId="0" shapeId="0" xr:uid="{8D084BC1-095A-46E9-ACCD-FA78ECC6A2B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>
      </text>
    </comment>
    <comment ref="R150" authorId="1" shapeId="0" xr:uid="{79A92AB3-2332-424E-8498-3134FE66C88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Racional = Total de exames ofertados - Realizados / Ofertados</t>
      </text>
    </comment>
  </commentList>
</comments>
</file>

<file path=xl/sharedStrings.xml><?xml version="1.0" encoding="utf-8"?>
<sst xmlns="http://schemas.openxmlformats.org/spreadsheetml/2006/main" count="1289" uniqueCount="345">
  <si>
    <t>Hospital de Urgências de Goiás Dr. Valdemiro Cruz (HUGO)</t>
  </si>
  <si>
    <t>Produção Assistencial 2026 / Termo de Colaboração nº 97/2024 - SES</t>
  </si>
  <si>
    <t>INTERNAÇÕES (Saídas hospitalares)</t>
  </si>
  <si>
    <t>Meta Mensal - 1º TA a partir de 01/02/2025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</si>
  <si>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</si>
  <si>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</si>
  <si>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</si>
  <si>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</si>
  <si>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</si>
  <si>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</si>
  <si>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</si>
  <si>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</si>
  <si>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</si>
  <si>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</si>
  <si>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</si>
  <si>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</si>
  <si>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</si>
  <si>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</si>
  <si>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</si>
  <si>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</si>
  <si>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 xml:space="preserve">CIRURGIAS </t>
  </si>
  <si>
    <t>Cirurgia eletiva hospitalar de alto giro</t>
  </si>
  <si>
    <t>NA</t>
  </si>
  <si>
    <t>Cirurgia eletiva hospitalar de média ou alta complexidade (sem alto custo)</t>
  </si>
  <si>
    <t>Cirurgia eletiva hospitalar alto custo (c/ ou s/ OPME)</t>
  </si>
  <si>
    <t>Cirurgia eletiva hospitalar alto custo porte maior (c/ ou s/ OPME)</t>
  </si>
  <si>
    <t>Eletivas e 2º tempo</t>
  </si>
  <si>
    <t>sem meta</t>
  </si>
  <si>
    <t>Urgências</t>
  </si>
  <si>
    <t>Cirurgias Urgencia por Especialidade</t>
  </si>
  <si>
    <t>Neurocirurgia</t>
  </si>
  <si>
    <t>Ortopedia/Traumatologia</t>
  </si>
  <si>
    <t>Vascular</t>
  </si>
  <si>
    <t xml:space="preserve">Cirurgia Geral </t>
  </si>
  <si>
    <t>Outros</t>
  </si>
  <si>
    <t>Cirurgias Eletivas 2º Tempo por Especialidade</t>
  </si>
  <si>
    <t>ATENDIMENTO AMBULATORIAL</t>
  </si>
  <si>
    <t>Consulta médica na atenção especializada</t>
  </si>
  <si>
    <t>Consulta multiprofissional na atenção
especializada</t>
  </si>
  <si>
    <t>Pequeno procedimento ambulatorial (BPA)</t>
  </si>
  <si>
    <t>Pequeno procedimento ambulatorial (APAC)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</si>
  <si>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</si>
  <si>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</si>
  <si>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</si>
  <si>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</si>
  <si>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</si>
  <si>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</si>
  <si>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</si>
  <si>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</si>
  <si>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</si>
  <si>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</si>
  <si>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</si>
  <si>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</si>
  <si>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</si>
  <si>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</si>
  <si>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</si>
  <si>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</si>
  <si>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</si>
  <si>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</si>
  <si>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</si>
  <si>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</si>
  <si>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</si>
  <si>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</si>
  <si>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</si>
  <si>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</si>
  <si>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</si>
  <si>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</si>
  <si>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</si>
  <si>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</si>
  <si>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</si>
  <si>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</si>
  <si>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</si>
  <si>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</si>
  <si>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</si>
  <si>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</si>
  <si>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</si>
  <si>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</si>
  <si>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</si>
  <si>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(c/ ou s/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</si>
  <si>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</si>
  <si>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</si>
  <si>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</si>
  <si>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</si>
  <si>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</si>
  <si>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</si>
  <si>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</si>
  <si>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</si>
  <si>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</si>
  <si>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Ultrassonografia</t>
  </si>
  <si>
    <t>Ultrassonografia Doppler</t>
  </si>
  <si>
    <t xml:space="preserve">NA </t>
  </si>
  <si>
    <t>Total</t>
  </si>
  <si>
    <t>SADT INTERNO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</si>
  <si>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</si>
  <si>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</si>
  <si>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</si>
  <si>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</si>
  <si>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</si>
  <si>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</si>
  <si>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</si>
  <si>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</si>
  <si>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</si>
  <si>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</si>
  <si>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</si>
  <si>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</si>
  <si>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</si>
  <si>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</si>
  <si>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</si>
  <si>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</si>
  <si>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</si>
  <si>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</si>
  <si>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</si>
  <si>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Neurologia</t>
  </si>
  <si>
    <t>Angiologia e Cirurgia Vascular</t>
  </si>
  <si>
    <t>PROJETO ANGELS</t>
  </si>
  <si>
    <t>Atendimentos AVC</t>
  </si>
  <si>
    <t>Goiânia-GO, 10 de maio de 2026</t>
  </si>
  <si>
    <t>Dr. Fabiana Rolla</t>
  </si>
  <si>
    <t>Diretora Médica</t>
  </si>
  <si>
    <t>Hospital de Urgências de Goiás Dr Valdemiro Cruz - HUGO</t>
  </si>
  <si>
    <t>Indicador Hospitalar de Qualidade (%) 2026</t>
  </si>
  <si>
    <t>Taxa de Ocupação Hospitalar (%)</t>
  </si>
  <si>
    <r>
      <t xml:space="preserve">Unidade de Internação - </t>
    </r>
    <r>
      <rPr>
        <b/>
        <sz val="10"/>
        <color rgb="FF000000"/>
        <rFont val="Arial"/>
        <family val="2"/>
      </rPr>
      <t>Leitos contratualizados</t>
    </r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</si>
  <si>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</si>
  <si>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</si>
  <si>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</si>
  <si>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</si>
  <si>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</si>
  <si>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</si>
  <si>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</si>
  <si>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</si>
  <si>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</si>
  <si>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</si>
  <si>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</si>
  <si>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</si>
  <si>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</si>
  <si>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</si>
  <si>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</si>
  <si>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</si>
  <si>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</si>
  <si>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</si>
  <si>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</si>
  <si>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</si>
  <si>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</t>
  </si>
  <si>
    <t>Taxa de Mortalidade Institucional (óbitos &gt;24 h)</t>
  </si>
  <si>
    <t>Taxa de Mortalidade Operatória (Óbito em até 07d PO)</t>
  </si>
  <si>
    <t>Tempo Médio de Espera p/ o 1 Atendimento Médico (minutos)</t>
  </si>
  <si>
    <t>Taxa de Atendimento Médico Dentro do Tempo Conforme Classificação de Risco</t>
  </si>
  <si>
    <t>Tempo Médio de Permanência no PS (minutos)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</si>
  <si>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</si>
  <si>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</si>
  <si>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</si>
  <si>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</si>
  <si>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</si>
  <si>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</si>
  <si>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</si>
  <si>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</si>
  <si>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</si>
  <si>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</si>
  <si>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</si>
  <si>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</si>
  <si>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</si>
  <si>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</si>
  <si>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</si>
  <si>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</si>
  <si>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</si>
  <si>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</si>
  <si>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</si>
  <si>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</si>
  <si>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</si>
  <si>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</si>
  <si>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</si>
  <si>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</si>
  <si>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</si>
  <si>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</si>
  <si>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</si>
  <si>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</si>
  <si>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</si>
  <si>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</si>
  <si>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</si>
  <si>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</si>
  <si>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</si>
  <si>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</si>
  <si>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</si>
  <si>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</si>
  <si>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</si>
  <si>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</si>
  <si>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</si>
  <si>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</si>
  <si>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</si>
  <si>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</si>
  <si>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</si>
  <si>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</si>
  <si>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</si>
  <si>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</si>
  <si>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</si>
  <si>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</si>
  <si>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</si>
  <si>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</si>
  <si>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</si>
  <si>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</si>
  <si>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</si>
  <si>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</si>
  <si>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</si>
  <si>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</si>
  <si>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</si>
  <si>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</si>
  <si>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</si>
  <si>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</si>
  <si>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</si>
  <si>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</si>
  <si>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</si>
  <si>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</si>
  <si>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</rPr>
      <t>Indicador de Gestão Ambulatorial</t>
    </r>
    <r>
      <rPr>
        <b/>
        <sz val="12"/>
        <color rgb="FFFF0000"/>
        <rFont val="Arial"/>
      </rPr>
      <t xml:space="preserve"> </t>
    </r>
    <r>
      <rPr>
        <b/>
        <sz val="12"/>
        <color rgb="FF000000"/>
        <rFont val="Arial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</si>
  <si>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</si>
  <si>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</si>
  <si>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</si>
  <si>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</si>
  <si>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</si>
  <si>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r>
      <t>Indicador de Gestão Ambulatorial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(%)</t>
    </r>
  </si>
  <si>
    <t>Procedimento</t>
  </si>
  <si>
    <t>Perda primária</t>
  </si>
  <si>
    <t>Absenteísmo</t>
  </si>
  <si>
    <t>Tomografia computadorizada (c/ e s/ constraste)</t>
  </si>
  <si>
    <t>USG</t>
  </si>
  <si>
    <t>USG Doppler</t>
  </si>
  <si>
    <t>Indicadores de Desempenho 2026 / Termo de Colaboração nº 97/2024 - SES</t>
  </si>
  <si>
    <t>INDICADORES DE DESEMPENHO</t>
  </si>
  <si>
    <t>Meta Mensal - 1º TA a partir de 01/02/20/25</t>
  </si>
  <si>
    <t>Taxa de Ocupação Hospitalar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</si>
  <si>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</si>
  <si>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</si>
  <si>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</si>
  <si>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</si>
  <si>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 dias</t>
  </si>
  <si>
    <t>Total de saídas hospitalares no período</t>
  </si>
  <si>
    <t>Índice de Intervalo de Substituição (horas)</t>
  </si>
  <si>
    <t>≤ 24</t>
  </si>
  <si>
    <t>Taxa de Ocupação Hospitalar (leito operacional)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</si>
  <si>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</si>
  <si>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</si>
  <si>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</si>
  <si>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</si>
  <si>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</si>
  <si>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</si>
  <si>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</si>
  <si>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</si>
  <si>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</si>
  <si>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</si>
  <si>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</si>
  <si>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>em processamento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</si>
  <si>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</si>
  <si>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</si>
  <si>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</si>
  <si>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</si>
  <si>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</si>
  <si>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</si>
  <si>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</si>
  <si>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</si>
  <si>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</si>
  <si>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</si>
  <si>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t xml:space="preserve">N ° de cirurgias </t>
    </r>
    <r>
      <rPr>
        <i/>
        <sz val="12"/>
        <rFont val="Arial"/>
        <family val="2"/>
      </rPr>
      <t xml:space="preserve"> realizadas com TMAT expirado </t>
    </r>
  </si>
  <si>
    <r>
      <t>Nº d</t>
    </r>
    <r>
      <rPr>
        <i/>
        <sz val="12"/>
        <rFont val="Arial"/>
        <family val="2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</si>
  <si>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</si>
  <si>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</si>
  <si>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</si>
  <si>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</si>
  <si>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</si>
  <si>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</si>
  <si>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</si>
  <si>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</si>
  <si>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</si>
  <si>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</si>
  <si>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</si>
  <si>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</si>
  <si>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t xml:space="preserve">N °  de </t>
    </r>
    <r>
      <rPr>
        <i/>
        <sz val="12"/>
        <rFont val="Arial"/>
        <family val="2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</si>
  <si>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</si>
  <si>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</si>
  <si>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</si>
  <si>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</si>
  <si>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</si>
  <si>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por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</si>
  <si>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</si>
  <si>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</si>
  <si>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</si>
  <si>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</si>
  <si>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</si>
  <si>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</si>
  <si>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≥ 85%</t>
  </si>
  <si>
    <t>número de intervenções aceitas</t>
  </si>
  <si>
    <t>número absoluto de intervenções registradas que requer aceitação</t>
  </si>
  <si>
    <t>OQ OFERTAMOS PARA GERCON</t>
  </si>
  <si>
    <t>SEMANA PARA OS EGRESSOS</t>
  </si>
  <si>
    <t>Novembro (OFERTADO)</t>
  </si>
  <si>
    <t>Dias/Mês</t>
  </si>
  <si>
    <t>Coeficiente</t>
  </si>
  <si>
    <t>5 x 4,3 = 21</t>
  </si>
  <si>
    <t>22 x 4,3 = 94</t>
  </si>
  <si>
    <t>9 x 4,3 = 38</t>
  </si>
  <si>
    <t>12 x 4,3 = 51</t>
  </si>
  <si>
    <t>TC</t>
  </si>
  <si>
    <t>Portfolio</t>
  </si>
  <si>
    <t>OFERTADO Gercon</t>
  </si>
  <si>
    <t>AGENDADO</t>
  </si>
  <si>
    <t>Perda 1°</t>
  </si>
  <si>
    <t>REALIZADA GERCON</t>
  </si>
  <si>
    <t>FALTA</t>
  </si>
  <si>
    <t>ABSENTEISMO</t>
  </si>
  <si>
    <t>S</t>
  </si>
  <si>
    <t>REALIZADO EGRESS</t>
  </si>
  <si>
    <t>OFERTA SEMANAL VAGAS EXTERNAS</t>
  </si>
  <si>
    <t>SEGUNDA</t>
  </si>
  <si>
    <t>TERÇA-FEIRA</t>
  </si>
  <si>
    <t>QUARTA</t>
  </si>
  <si>
    <t>QUINTA</t>
  </si>
  <si>
    <t>SEXTA</t>
  </si>
  <si>
    <t>TOTAL OFERTADO</t>
  </si>
  <si>
    <t>MÊS NOVEMBRO</t>
  </si>
  <si>
    <t>BRONCOSCOPIA</t>
  </si>
  <si>
    <t>COLONOSCOPIA - ENDOSCOPIA DIGESTIVA BAIXO</t>
  </si>
  <si>
    <t>ECOCARDIOGRAMA</t>
  </si>
  <si>
    <t>ELETROCARDIOGRAMA</t>
  </si>
  <si>
    <t>ENDOSCOPIA</t>
  </si>
  <si>
    <t>RAIO X</t>
  </si>
  <si>
    <t>TOMOGRAFIA COMPUTADORIZADA</t>
  </si>
  <si>
    <t>ULTRASSONOGRAFIA</t>
  </si>
  <si>
    <t>ULTRASSONOGRAFIA/DOPPLER</t>
  </si>
  <si>
    <t>ELETROENCEFALOGRAFIA</t>
  </si>
  <si>
    <t>Janeiro a Nov/2025</t>
  </si>
  <si>
    <t>Total de saídas:</t>
  </si>
  <si>
    <t xml:space="preserve">Internações: peguei saídas 13.111 e preciso das entradas. </t>
  </si>
  <si>
    <t>Total de inetrnações (entradas)</t>
  </si>
  <si>
    <t>Consultas: 58.583 médicas e multi</t>
  </si>
  <si>
    <t>Exames:</t>
  </si>
  <si>
    <t>Exames: 794.053</t>
  </si>
  <si>
    <t>Cirurgias:</t>
  </si>
  <si>
    <t>Cirurgias: 11.374</t>
  </si>
  <si>
    <t>Atendimento multi:</t>
  </si>
  <si>
    <t>Atendimento Multiprofissional:  levantar</t>
  </si>
  <si>
    <t>Atendimento total:</t>
  </si>
  <si>
    <t>(Médica, não médica + BPA)</t>
  </si>
  <si>
    <t>Atendimento total: levantar</t>
  </si>
  <si>
    <t>(Saídas, consulta médica, cons não médica, atend urgência)</t>
  </si>
  <si>
    <t>OFERTADO</t>
  </si>
  <si>
    <t>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</si>
</sst>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/yy"/>
    <numFmt numFmtId="165" formatCode="0.0%"/>
    <numFmt numFmtId="166" formatCode="0.0"/>
    <numFmt numFmtId="167" formatCode="_-[$R$-416]\ * #,##0.00_-;\-[$R$-416]\ * #,##0.00_-;_-[$R$-416]\ * &quot;-&quot;??_-;_-@_-"/>
    <numFmt numFmtId="168" formatCode="#,##0.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  <charset val="1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8"/>
      <color rgb="FF201F35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Liberation Serif"/>
    </font>
    <font>
      <b/>
      <sz val="12"/>
      <color rgb="FF000000"/>
      <name val="Arial"/>
      <charset val="1"/>
    </font>
    <font>
      <sz val="12"/>
      <color theme="1"/>
      <name val="Arial"/>
    </font>
    <font>
      <b/>
      <sz val="12"/>
      <name val="Arial"/>
    </font>
    <font>
      <sz val="12"/>
      <name val="Arial"/>
    </font>
    <font>
      <sz val="8"/>
      <name val="Calibri"/>
      <family val="2"/>
      <scheme val="minor"/>
    </font>
    <font>
      <sz val="8"/>
      <color rgb="FF201F35"/>
      <name val="Arial"/>
      <charset val="1"/>
    </font>
    <font>
      <b/>
      <sz val="12"/>
      <color theme="1"/>
      <name val="Arial"/>
    </font>
    <font>
      <b/>
      <sz val="12"/>
      <color rgb="FF000000"/>
      <name val="Arial"/>
    </font>
    <font>
      <b/>
      <sz val="12"/>
      <color rgb="FFFF0000"/>
      <name val="Arial"/>
    </font>
    <font>
      <b/>
      <sz val="11"/>
      <color theme="1"/>
      <name val="Arial"/>
    </font>
    <font>
      <sz val="11"/>
      <color theme="1"/>
      <name val="Arial"/>
    </font>
  </fonts>
  <fills count="32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DDDDD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DCE6"/>
        <bgColor rgb="FFDEDCE6"/>
      </patternFill>
    </fill>
    <fill>
      <patternFill patternType="solid">
        <fgColor rgb="FFFFD7D7"/>
        <bgColor rgb="FFFFD7D7"/>
      </patternFill>
    </fill>
    <fill>
      <patternFill patternType="solid">
        <fgColor rgb="FFDEE6EF"/>
        <bgColor rgb="FFDEE6E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F2F2F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9DAE0"/>
      </right>
      <top/>
      <bottom style="thin">
        <color rgb="FFD9DAE0"/>
      </bottom>
      <diagonal/>
    </border>
    <border>
      <left/>
      <right/>
      <top/>
      <bottom style="thin">
        <color rgb="FFD9DA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/>
    </xf>
    <xf numFmtId="0" fontId="0" fillId="18" borderId="0" xfId="0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3" fontId="2" fillId="18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3" fontId="4" fillId="18" borderId="1" xfId="0" applyNumberFormat="1" applyFont="1" applyFill="1" applyBorder="1" applyAlignment="1">
      <alignment horizontal="center" vertical="center" wrapText="1"/>
    </xf>
    <xf numFmtId="3" fontId="11" fillId="18" borderId="1" xfId="0" applyNumberFormat="1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9" fillId="18" borderId="1" xfId="0" applyNumberFormat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0" fontId="5" fillId="6" borderId="1" xfId="1" applyNumberFormat="1" applyFont="1" applyFill="1" applyBorder="1" applyAlignment="1" applyProtection="1">
      <alignment horizontal="center" vertical="center" wrapText="1" shrinkToFit="1"/>
    </xf>
    <xf numFmtId="165" fontId="5" fillId="6" borderId="1" xfId="1" applyNumberFormat="1" applyFont="1" applyFill="1" applyBorder="1" applyAlignment="1" applyProtection="1">
      <alignment horizontal="center" vertical="center" wrapText="1" shrinkToFit="1"/>
    </xf>
    <xf numFmtId="9" fontId="11" fillId="18" borderId="1" xfId="1" applyFont="1" applyFill="1" applyBorder="1" applyAlignment="1">
      <alignment horizontal="center" vertical="center" wrapText="1"/>
    </xf>
    <xf numFmtId="9" fontId="11" fillId="18" borderId="1" xfId="0" applyNumberFormat="1" applyFont="1" applyFill="1" applyBorder="1" applyAlignment="1">
      <alignment horizontal="center" vertical="center" wrapText="1"/>
    </xf>
    <xf numFmtId="10" fontId="11" fillId="18" borderId="1" xfId="0" applyNumberFormat="1" applyFont="1" applyFill="1" applyBorder="1" applyAlignment="1">
      <alignment horizontal="center" vertical="center" wrapText="1"/>
    </xf>
    <xf numFmtId="10" fontId="11" fillId="18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19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left" vertical="center" wrapText="1"/>
    </xf>
    <xf numFmtId="0" fontId="9" fillId="23" borderId="1" xfId="0" applyFont="1" applyFill="1" applyBorder="1" applyAlignment="1">
      <alignment horizontal="left" vertical="center" wrapText="1"/>
    </xf>
    <xf numFmtId="9" fontId="4" fillId="18" borderId="1" xfId="0" applyNumberFormat="1" applyFont="1" applyFill="1" applyBorder="1" applyAlignment="1">
      <alignment horizontal="center" vertical="center" wrapText="1"/>
    </xf>
    <xf numFmtId="9" fontId="4" fillId="18" borderId="1" xfId="1" applyFont="1" applyFill="1" applyBorder="1" applyAlignment="1">
      <alignment horizontal="center" vertical="center" wrapText="1"/>
    </xf>
    <xf numFmtId="10" fontId="4" fillId="18" borderId="1" xfId="0" applyNumberFormat="1" applyFont="1" applyFill="1" applyBorder="1" applyAlignment="1">
      <alignment horizontal="center" vertical="center" wrapText="1"/>
    </xf>
    <xf numFmtId="10" fontId="4" fillId="18" borderId="1" xfId="1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 shrinkToFi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16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left" vertical="center" wrapText="1"/>
    </xf>
    <xf numFmtId="3" fontId="0" fillId="18" borderId="0" xfId="0" applyNumberForma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4" fillId="24" borderId="11" xfId="0" applyFont="1" applyFill="1" applyBorder="1" applyAlignment="1">
      <alignment wrapText="1"/>
    </xf>
    <xf numFmtId="0" fontId="34" fillId="24" borderId="12" xfId="0" applyFont="1" applyFill="1" applyBorder="1" applyAlignment="1">
      <alignment wrapText="1"/>
    </xf>
    <xf numFmtId="0" fontId="35" fillId="0" borderId="0" xfId="0" applyFont="1"/>
    <xf numFmtId="9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6" fillId="18" borderId="1" xfId="0" applyNumberFormat="1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35" fillId="0" borderId="0" xfId="0" applyFont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13" xfId="0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6" fontId="0" fillId="0" borderId="0" xfId="0" applyNumberFormat="1"/>
    <xf numFmtId="0" fontId="37" fillId="2" borderId="4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39" fillId="26" borderId="13" xfId="0" applyFont="1" applyFill="1" applyBorder="1" applyAlignment="1">
      <alignment horizontal="center" wrapText="1"/>
    </xf>
    <xf numFmtId="0" fontId="39" fillId="27" borderId="13" xfId="0" applyFont="1" applyFill="1" applyBorder="1" applyAlignment="1">
      <alignment horizontal="center" wrapText="1"/>
    </xf>
    <xf numFmtId="0" fontId="39" fillId="28" borderId="13" xfId="0" applyFont="1" applyFill="1" applyBorder="1" applyAlignment="1">
      <alignment horizontal="center" wrapText="1"/>
    </xf>
    <xf numFmtId="0" fontId="39" fillId="29" borderId="13" xfId="0" applyFont="1" applyFill="1" applyBorder="1" applyAlignment="1">
      <alignment horizontal="center" wrapText="1"/>
    </xf>
    <xf numFmtId="0" fontId="0" fillId="29" borderId="13" xfId="0" applyFill="1" applyBorder="1" applyAlignment="1">
      <alignment horizontal="center"/>
    </xf>
    <xf numFmtId="0" fontId="0" fillId="30" borderId="13" xfId="0" applyFill="1" applyBorder="1" applyAlignment="1">
      <alignment horizontal="center"/>
    </xf>
    <xf numFmtId="0" fontId="12" fillId="18" borderId="1" xfId="0" applyFont="1" applyFill="1" applyBorder="1" applyAlignment="1">
      <alignment horizontal="center" vertical="center" wrapText="1"/>
    </xf>
    <xf numFmtId="10" fontId="12" fillId="18" borderId="1" xfId="0" applyNumberFormat="1" applyFont="1" applyFill="1" applyBorder="1" applyAlignment="1">
      <alignment horizontal="center" vertical="center" wrapText="1"/>
    </xf>
    <xf numFmtId="166" fontId="0" fillId="18" borderId="0" xfId="0" applyNumberFormat="1" applyFill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10" fontId="15" fillId="18" borderId="1" xfId="0" applyNumberFormat="1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0" xfId="0" applyFont="1"/>
    <xf numFmtId="3" fontId="9" fillId="2" borderId="1" xfId="0" applyNumberFormat="1" applyFont="1" applyFill="1" applyBorder="1" applyAlignment="1">
      <alignment vertical="center" wrapText="1"/>
    </xf>
    <xf numFmtId="10" fontId="4" fillId="0" borderId="1" xfId="1" applyNumberFormat="1" applyFont="1" applyBorder="1" applyAlignment="1">
      <alignment vertical="center"/>
    </xf>
    <xf numFmtId="10" fontId="12" fillId="0" borderId="0" xfId="0" applyNumberFormat="1" applyFont="1"/>
    <xf numFmtId="0" fontId="30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/>
    </xf>
    <xf numFmtId="3" fontId="12" fillId="0" borderId="0" xfId="0" applyNumberFormat="1" applyFont="1"/>
    <xf numFmtId="2" fontId="4" fillId="0" borderId="1" xfId="0" applyNumberFormat="1" applyFont="1" applyBorder="1" applyAlignment="1">
      <alignment vertical="center"/>
    </xf>
    <xf numFmtId="0" fontId="30" fillId="6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18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2" fillId="18" borderId="0" xfId="0" applyFont="1" applyFill="1"/>
    <xf numFmtId="0" fontId="31" fillId="1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10" fontId="4" fillId="0" borderId="1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0" fillId="18" borderId="1" xfId="0" applyFont="1" applyFill="1" applyBorder="1" applyAlignment="1">
      <alignment vertical="center" wrapText="1"/>
    </xf>
    <xf numFmtId="9" fontId="4" fillId="18" borderId="1" xfId="0" applyNumberFormat="1" applyFont="1" applyFill="1" applyBorder="1" applyAlignment="1">
      <alignment vertical="center"/>
    </xf>
    <xf numFmtId="1" fontId="11" fillId="0" borderId="1" xfId="1" applyNumberFormat="1" applyFont="1" applyBorder="1" applyAlignment="1">
      <alignment vertical="center"/>
    </xf>
    <xf numFmtId="10" fontId="15" fillId="0" borderId="1" xfId="0" applyNumberFormat="1" applyFont="1" applyBorder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3" fontId="12" fillId="0" borderId="1" xfId="0" applyNumberFormat="1" applyFont="1" applyBorder="1" applyAlignment="1" applyProtection="1">
      <alignment vertical="center"/>
      <protection locked="0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3" fontId="9" fillId="18" borderId="20" xfId="0" applyNumberFormat="1" applyFont="1" applyFill="1" applyBorder="1" applyAlignment="1">
      <alignment horizontal="center" vertical="center" wrapText="1"/>
    </xf>
    <xf numFmtId="3" fontId="4" fillId="18" borderId="20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9" fontId="4" fillId="18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1" fillId="0" borderId="15" xfId="0" applyFont="1" applyBorder="1" applyAlignment="1">
      <alignment vertical="center"/>
    </xf>
    <xf numFmtId="0" fontId="12" fillId="0" borderId="16" xfId="0" applyFont="1" applyBorder="1"/>
    <xf numFmtId="0" fontId="11" fillId="0" borderId="16" xfId="0" applyFont="1" applyBorder="1" applyAlignment="1">
      <alignment vertical="center"/>
    </xf>
    <xf numFmtId="0" fontId="12" fillId="0" borderId="16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167" fontId="14" fillId="0" borderId="1" xfId="0" applyNumberFormat="1" applyFont="1" applyBorder="1" applyAlignment="1" applyProtection="1">
      <alignment horizontal="center" vertical="center"/>
      <protection locked="0"/>
    </xf>
    <xf numFmtId="10" fontId="4" fillId="18" borderId="1" xfId="0" applyNumberFormat="1" applyFont="1" applyFill="1" applyBorder="1" applyAlignment="1">
      <alignment horizontal="center" vertical="center"/>
    </xf>
    <xf numFmtId="165" fontId="11" fillId="18" borderId="1" xfId="1" applyNumberFormat="1" applyFont="1" applyFill="1" applyBorder="1" applyAlignment="1">
      <alignment horizontal="center" vertical="center" wrapText="1"/>
    </xf>
    <xf numFmtId="165" fontId="11" fillId="18" borderId="1" xfId="0" applyNumberFormat="1" applyFont="1" applyFill="1" applyBorder="1" applyAlignment="1">
      <alignment horizontal="center" vertical="center" wrapText="1"/>
    </xf>
    <xf numFmtId="165" fontId="4" fillId="18" borderId="1" xfId="0" applyNumberFormat="1" applyFont="1" applyFill="1" applyBorder="1" applyAlignment="1">
      <alignment horizontal="center" vertical="center" wrapText="1"/>
    </xf>
    <xf numFmtId="2" fontId="4" fillId="18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3" fontId="24" fillId="31" borderId="1" xfId="0" applyNumberFormat="1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/>
    </xf>
    <xf numFmtId="10" fontId="5" fillId="6" borderId="23" xfId="0" applyNumberFormat="1" applyFont="1" applyFill="1" applyBorder="1"/>
    <xf numFmtId="10" fontId="6" fillId="0" borderId="23" xfId="0" applyNumberFormat="1" applyFont="1" applyBorder="1"/>
    <xf numFmtId="0" fontId="16" fillId="0" borderId="24" xfId="0" applyFont="1" applyBorder="1" applyAlignment="1">
      <alignment horizontal="center" vertical="center" wrapText="1"/>
    </xf>
    <xf numFmtId="17" fontId="18" fillId="3" borderId="1" xfId="0" applyNumberFormat="1" applyFont="1" applyFill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 wrapText="1"/>
    </xf>
    <xf numFmtId="0" fontId="45" fillId="0" borderId="0" xfId="0" applyFont="1"/>
    <xf numFmtId="0" fontId="41" fillId="0" borderId="1" xfId="0" applyFont="1" applyBorder="1" applyAlignment="1">
      <alignment horizontal="center" vertical="center"/>
    </xf>
    <xf numFmtId="3" fontId="41" fillId="0" borderId="1" xfId="0" applyNumberFormat="1" applyFont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10" fontId="4" fillId="18" borderId="1" xfId="1" applyNumberFormat="1" applyFont="1" applyFill="1" applyBorder="1" applyAlignment="1">
      <alignment horizontal="center" vertical="center"/>
    </xf>
    <xf numFmtId="10" fontId="46" fillId="0" borderId="1" xfId="1" applyNumberFormat="1" applyFont="1" applyBorder="1" applyAlignment="1">
      <alignment horizontal="center" vertical="center"/>
    </xf>
    <xf numFmtId="165" fontId="41" fillId="18" borderId="1" xfId="0" applyNumberFormat="1" applyFont="1" applyFill="1" applyBorder="1" applyAlignment="1">
      <alignment horizontal="center" vertical="center" wrapText="1"/>
    </xf>
    <xf numFmtId="165" fontId="46" fillId="18" borderId="1" xfId="0" applyNumberFormat="1" applyFont="1" applyFill="1" applyBorder="1" applyAlignment="1">
      <alignment horizontal="center" vertical="center" wrapText="1"/>
    </xf>
    <xf numFmtId="10" fontId="46" fillId="18" borderId="1" xfId="0" applyNumberFormat="1" applyFont="1" applyFill="1" applyBorder="1" applyAlignment="1">
      <alignment horizontal="center" vertical="center"/>
    </xf>
    <xf numFmtId="10" fontId="49" fillId="0" borderId="1" xfId="0" applyNumberFormat="1" applyFont="1" applyBorder="1" applyAlignment="1">
      <alignment horizontal="center" vertical="center"/>
    </xf>
    <xf numFmtId="0" fontId="41" fillId="18" borderId="1" xfId="0" applyFont="1" applyFill="1" applyBorder="1" applyAlignment="1">
      <alignment horizontal="center" vertical="center"/>
    </xf>
    <xf numFmtId="9" fontId="46" fillId="18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Border="1" applyAlignment="1" applyProtection="1">
      <alignment horizontal="center" vertical="center"/>
      <protection locked="0"/>
    </xf>
    <xf numFmtId="4" fontId="14" fillId="0" borderId="1" xfId="0" applyNumberFormat="1" applyFont="1" applyBorder="1" applyAlignment="1" applyProtection="1">
      <alignment horizontal="center" vertical="center"/>
      <protection locked="0"/>
    </xf>
    <xf numFmtId="10" fontId="5" fillId="6" borderId="23" xfId="0" applyNumberFormat="1" applyFont="1" applyFill="1" applyBorder="1" applyAlignment="1">
      <alignment horizontal="center"/>
    </xf>
    <xf numFmtId="10" fontId="6" fillId="0" borderId="2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0" fontId="41" fillId="18" borderId="1" xfId="1" applyNumberFormat="1" applyFont="1" applyFill="1" applyBorder="1" applyAlignment="1">
      <alignment horizontal="center" vertical="center" wrapText="1"/>
    </xf>
    <xf numFmtId="9" fontId="41" fillId="18" borderId="1" xfId="1" applyFont="1" applyFill="1" applyBorder="1" applyAlignment="1">
      <alignment horizontal="center" vertical="center" wrapText="1"/>
    </xf>
    <xf numFmtId="10" fontId="46" fillId="18" borderId="1" xfId="1" applyNumberFormat="1" applyFont="1" applyFill="1" applyBorder="1" applyAlignment="1">
      <alignment horizontal="center" vertical="center" wrapText="1"/>
    </xf>
    <xf numFmtId="10" fontId="6" fillId="6" borderId="23" xfId="0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9" fontId="5" fillId="18" borderId="1" xfId="0" applyNumberFormat="1" applyFont="1" applyFill="1" applyBorder="1" applyAlignment="1">
      <alignment horizontal="center" vertical="center" wrapText="1"/>
    </xf>
    <xf numFmtId="10" fontId="5" fillId="18" borderId="1" xfId="0" applyNumberFormat="1" applyFont="1" applyFill="1" applyBorder="1" applyAlignment="1">
      <alignment horizontal="center" vertical="center" wrapText="1"/>
    </xf>
    <xf numFmtId="10" fontId="42" fillId="20" borderId="1" xfId="0" applyNumberFormat="1" applyFont="1" applyFill="1" applyBorder="1" applyAlignment="1">
      <alignment horizontal="center" vertical="center" wrapText="1"/>
    </xf>
    <xf numFmtId="10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17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0" fontId="1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0" fontId="16" fillId="0" borderId="4" xfId="0" applyNumberFormat="1" applyFont="1" applyBorder="1" applyAlignment="1">
      <alignment horizontal="center" vertical="center"/>
    </xf>
    <xf numFmtId="10" fontId="16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 shrinkToFi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0" fontId="12" fillId="13" borderId="1" xfId="0" applyNumberFormat="1" applyFont="1" applyFill="1" applyBorder="1" applyAlignment="1">
      <alignment horizontal="center" vertical="center" wrapText="1"/>
    </xf>
    <xf numFmtId="10" fontId="43" fillId="18" borderId="1" xfId="0" applyNumberFormat="1" applyFont="1" applyFill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10" fontId="11" fillId="0" borderId="6" xfId="0" applyNumberFormat="1" applyFont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2" fillId="20" borderId="1" xfId="0" applyFont="1" applyFill="1" applyBorder="1" applyAlignment="1">
      <alignment horizontal="center" vertical="center" wrapText="1"/>
    </xf>
    <xf numFmtId="9" fontId="43" fillId="18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0" fillId="14" borderId="8" xfId="0" applyFont="1" applyFill="1" applyBorder="1" applyAlignment="1">
      <alignment horizontal="center" vertical="center"/>
    </xf>
    <xf numFmtId="0" fontId="40" fillId="14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4" fillId="0" borderId="2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  <color rgb="FFE1C6F5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69057</xdr:rowOff>
    </xdr:from>
    <xdr:to>
      <xdr:col>13</xdr:col>
      <xdr:colOff>764382</xdr:colOff>
      <xdr:row>0</xdr:row>
      <xdr:rowOff>1009651</xdr:rowOff>
    </xdr:to>
    <xdr:pic>
      <xdr:nvPicPr>
        <xdr:cNvPr id="6" name="Imagem 4">
          <a:extLst>
            <a:ext uri="{FF2B5EF4-FFF2-40B4-BE49-F238E27FC236}">
              <a16:creationId xmlns:a16="http://schemas.microsoft.com/office/drawing/2014/main" id="{9F626E29-F0E5-4698-A12E-BD319A4D988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48175" y="69057"/>
          <a:ext cx="7765257" cy="940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107157</xdr:colOff>
      <xdr:row>0</xdr:row>
      <xdr:rowOff>166688</xdr:rowOff>
    </xdr:from>
    <xdr:to>
      <xdr:col>0</xdr:col>
      <xdr:colOff>1723228</xdr:colOff>
      <xdr:row>1</xdr:row>
      <xdr:rowOff>26988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CD2335B-8433-4BC7-968D-EB33B23053FB}"/>
            </a:ext>
            <a:ext uri="{147F2762-F138-4A5C-976F-8EAC2B608ADB}">
              <a16:predDERef xmlns:a16="http://schemas.microsoft.com/office/drawing/2014/main" pred="{9F626E29-F0E5-4698-A12E-BD319A4D9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7157" y="166688"/>
          <a:ext cx="1616071" cy="908050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250030</xdr:colOff>
      <xdr:row>0</xdr:row>
      <xdr:rowOff>166687</xdr:rowOff>
    </xdr:from>
    <xdr:to>
      <xdr:col>0</xdr:col>
      <xdr:colOff>1869276</xdr:colOff>
      <xdr:row>1</xdr:row>
      <xdr:rowOff>9524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C6249A1-7D8F-4A46-A1DF-54FF8CAD7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0030" y="166687"/>
          <a:ext cx="1619246" cy="914400"/>
        </a:xfrm>
        <a:prstGeom prst="rect">
          <a:avLst/>
        </a:prstGeom>
        <a:noFill/>
        <a:ln cap="flat">
          <a:noFill/>
        </a:ln>
      </xdr:spPr>
    </xdr:pic>
    <xdr:clientData/>
  </xdr:twoCellAnchor>
  <xdr:twoCellAnchor>
    <xdr:from>
      <xdr:col>9</xdr:col>
      <xdr:colOff>226785</xdr:colOff>
      <xdr:row>0</xdr:row>
      <xdr:rowOff>45357</xdr:rowOff>
    </xdr:from>
    <xdr:to>
      <xdr:col>23</xdr:col>
      <xdr:colOff>138227</xdr:colOff>
      <xdr:row>0</xdr:row>
      <xdr:rowOff>985951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4978939D-6C28-4CE3-8C5B-E545586A09E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944428" y="45357"/>
          <a:ext cx="9109870" cy="94059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0</xdr:rowOff>
    </xdr:from>
    <xdr:to>
      <xdr:col>15</xdr:col>
      <xdr:colOff>145256</xdr:colOff>
      <xdr:row>1</xdr:row>
      <xdr:rowOff>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333BE878-387C-48C9-B349-8B45B52223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0"/>
          <a:ext cx="8336756" cy="904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1733546</xdr:colOff>
      <xdr:row>1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CD51936-8F2B-4286-9787-E7FD6F93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4300" y="0"/>
          <a:ext cx="1619246" cy="914400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ny Karla Nascimento Santos" id="{CC8B3ADD-A9FA-45FE-8BE9-6E14C2CE274E}" userId="S::eny.karla@einstein.br::36ed4408-697b-4983-9881-e69d58dd44e9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44" dT="2025-10-07T13:38:42.80" personId="{CC8B3ADD-A9FA-45FE-8BE9-6E14C2CE274E}" id="{8D084BC1-095A-46E9-ACCD-FA78ECC6A2B7}">
    <text>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ext>
  </threadedComment>
  <threadedComment ref="R150" dT="2025-10-07T17:31:29.34" personId="{CC8B3ADD-A9FA-45FE-8BE9-6E14C2CE274E}" id="{79A92AB3-2332-424E-8498-3134FE66C88D}">
    <text>Racional = Total de exames ofertados - Realizados / Ofertados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FR155"/>
  <sheetViews>
    <sheetView tabSelected="1" topLeftCell="A139" zoomScale="80" zoomScaleNormal="80" workbookViewId="0">
      <pane xSplit="1" topLeftCell="C1" activePane="topRight" state="frozen"/>
      <selection pane="topRight" activeCell="J150" sqref="J150"/>
    </sheetView>
  </sheetViews>
  <sheetFormatPr defaultColWidth="9.15234375" defaultRowHeight="15" customHeight="1"/>
  <cols>
    <col min="1" max="1" width="54.84375" style="15" customWidth="1"/>
    <col min="2" max="2" width="16.15234375" style="15" customWidth="1"/>
    <col min="3" max="3" width="11.3828125" style="15" customWidth="1"/>
    <col min="4" max="4" width="11.53515625" style="15" bestFit="1" customWidth="1"/>
    <col min="5" max="5" width="10" style="15" customWidth="1"/>
    <col min="6" max="6" width="10.3046875" style="15" customWidth="1"/>
    <col min="7" max="7" width="9.84375" style="15" customWidth="1"/>
    <col min="8" max="8" width="9.53515625" style="15" customWidth="1"/>
    <col min="9" max="10" width="9.84375" style="15" customWidth="1"/>
    <col min="11" max="11" width="11" style="15" bestFit="1" customWidth="1"/>
    <col min="12" max="12" width="9.69140625" style="15" bestFit="1" customWidth="1"/>
    <col min="13" max="13" width="11.69140625" style="15" bestFit="1" customWidth="1"/>
    <col min="14" max="14" width="11.53515625" style="15" customWidth="1"/>
    <col min="15" max="15" width="11.3828125" style="22" bestFit="1" customWidth="1"/>
    <col min="16" max="19" width="12.3828125" style="22" bestFit="1" customWidth="1"/>
    <col min="20" max="174" width="9.15234375" style="22"/>
    <col min="175" max="16384" width="9.15234375" style="15"/>
  </cols>
  <sheetData>
    <row r="1" spans="1:15" ht="82.5" customHeight="1">
      <c r="A1" s="132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4"/>
    </row>
    <row r="2" spans="1:15" ht="15" customHeight="1">
      <c r="A2" s="247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9"/>
    </row>
    <row r="3" spans="1:15" ht="18" customHeight="1">
      <c r="A3" s="250" t="s">
        <v>1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5" ht="44.25" customHeight="1">
      <c r="A4" s="19" t="s">
        <v>2</v>
      </c>
      <c r="B4" s="42" t="s">
        <v>3</v>
      </c>
      <c r="C4" s="41" t="s">
        <v>4</v>
      </c>
      <c r="D4" s="41" t="s">
        <v>5</v>
      </c>
      <c r="E4" s="41" t="s">
        <v>6</v>
      </c>
      <c r="F4" s="41" t="s">
        <v>7</v>
      </c>
      <c r="G4" s="41" t="s">
        <v>8</v>
      </c>
      <c r="H4" s="41" t="s">
        <v>9</v>
      </c>
      <c r="I4" s="41" t="s">
        <v>10</v>
      </c>
      <c r="J4" s="41" t="s">
        <v>11</v>
      </c>
      <c r="K4" s="41" t="s">
        <v>12</v>
      </c>
      <c r="L4" s="41" t="s">
        <v>13</v>
      </c>
      <c r="M4" s="41" t="s">
        <v>14</v>
      </c>
      <c r="N4" s="41" t="s">
        <v>15</v>
      </c>
      <c r="O4" s="80"/>
    </row>
    <row r="5" spans="1:15" ht="20.25" customHeight="1">
      <c r="A5" s="2" t="s">
        <v>16</v>
      </c>
      <c r="B5" s="205">
        <v>1118</v>
      </c>
      <c r="C5" s="10">
        <v>853</v>
      </c>
      <c r="D5" s="10">
        <v>749</v>
      </c>
      <c r="E5" s="10">
        <v>874</v>
      </c>
      <c r="F5" s="10">
        <v>871</v>
      </c>
      <c r="G5" s="10"/>
      <c r="H5" s="10"/>
      <c r="I5" s="20"/>
      <c r="J5" s="10"/>
      <c r="K5" s="10"/>
      <c r="L5" s="51"/>
      <c r="M5" s="10"/>
      <c r="N5" s="10"/>
    </row>
    <row r="6" spans="1:15" ht="21.75" customHeight="1">
      <c r="A6" s="2" t="s">
        <v>17</v>
      </c>
      <c r="B6" s="205">
        <v>328</v>
      </c>
      <c r="C6" s="10">
        <v>274</v>
      </c>
      <c r="D6" s="10">
        <v>254</v>
      </c>
      <c r="E6" s="10">
        <v>331</v>
      </c>
      <c r="F6" s="10">
        <v>306</v>
      </c>
      <c r="G6" s="10"/>
      <c r="H6" s="11"/>
      <c r="I6" s="20"/>
      <c r="J6" s="10"/>
      <c r="K6" s="10"/>
      <c r="L6" s="10"/>
      <c r="M6" s="10"/>
      <c r="N6" s="10"/>
    </row>
    <row r="7" spans="1:15" ht="21" customHeight="1">
      <c r="A7" s="3" t="s">
        <v>18</v>
      </c>
      <c r="B7" s="205">
        <v>46</v>
      </c>
      <c r="C7" s="10">
        <v>146</v>
      </c>
      <c r="D7" s="10">
        <v>113</v>
      </c>
      <c r="E7" s="10">
        <v>138</v>
      </c>
      <c r="F7" s="10">
        <v>135</v>
      </c>
      <c r="G7" s="10"/>
      <c r="H7" s="11"/>
      <c r="I7" s="20"/>
      <c r="J7" s="10"/>
      <c r="K7" s="10"/>
      <c r="L7" s="10"/>
      <c r="M7" s="10"/>
      <c r="N7" s="10"/>
    </row>
    <row r="8" spans="1:15" ht="21" customHeight="1">
      <c r="A8" s="3" t="s">
        <v>19</v>
      </c>
      <c r="B8" s="205">
        <f>SUM(B5:B7)</f>
        <v>1492</v>
      </c>
      <c r="C8" s="24">
        <f t="shared" ref="C8" si="0">SUM(C5:C7)</f>
        <v>1273</v>
      </c>
      <c r="D8" s="24">
        <f>SUM(D5:D7)</f>
        <v>1116</v>
      </c>
      <c r="E8" s="24">
        <v>1343</v>
      </c>
      <c r="F8" s="43">
        <v>1312</v>
      </c>
      <c r="G8" s="43">
        <f t="shared" ref="G8:K8" si="1">SUM(G5:G7)</f>
        <v>0</v>
      </c>
      <c r="H8" s="43">
        <f t="shared" si="1"/>
        <v>0</v>
      </c>
      <c r="I8" s="43">
        <f t="shared" si="1"/>
        <v>0</v>
      </c>
      <c r="J8" s="43">
        <f t="shared" si="1"/>
        <v>0</v>
      </c>
      <c r="K8" s="43">
        <f t="shared" si="1"/>
        <v>0</v>
      </c>
      <c r="L8" s="43">
        <f>SUM(L5:L7)</f>
        <v>0</v>
      </c>
      <c r="M8" s="43">
        <f>SUM(M5:M7)</f>
        <v>0</v>
      </c>
      <c r="N8" s="43">
        <f>SUM(N5:N7)</f>
        <v>0</v>
      </c>
      <c r="O8" s="80"/>
    </row>
    <row r="9" spans="1:15" ht="9.75" customHeight="1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5" ht="37.299999999999997">
      <c r="A10" s="4" t="s">
        <v>20</v>
      </c>
      <c r="B10" s="42" t="s">
        <v>3</v>
      </c>
      <c r="C10" s="41" t="s">
        <v>4</v>
      </c>
      <c r="D10" s="41" t="s">
        <v>5</v>
      </c>
      <c r="E10" s="41" t="s">
        <v>6</v>
      </c>
      <c r="F10" s="41" t="s">
        <v>7</v>
      </c>
      <c r="G10" s="41" t="s">
        <v>8</v>
      </c>
      <c r="H10" s="41" t="s">
        <v>9</v>
      </c>
      <c r="I10" s="41" t="s">
        <v>10</v>
      </c>
      <c r="J10" s="41" t="s">
        <v>11</v>
      </c>
      <c r="K10" s="41" t="s">
        <v>12</v>
      </c>
      <c r="L10" s="41" t="s">
        <v>13</v>
      </c>
      <c r="M10" s="41" t="s">
        <v>14</v>
      </c>
      <c r="N10" s="41" t="s">
        <v>15</v>
      </c>
    </row>
    <row r="11" spans="1:15" ht="21" hidden="1" customHeight="1">
      <c r="A11" s="3" t="s">
        <v>21</v>
      </c>
      <c r="B11" s="191" t="s">
        <v>22</v>
      </c>
      <c r="C11" s="25" t="s">
        <v>22</v>
      </c>
      <c r="D11" s="25" t="s">
        <v>22</v>
      </c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25" t="s">
        <v>22</v>
      </c>
      <c r="K11" s="25" t="s">
        <v>22</v>
      </c>
      <c r="L11" s="25" t="s">
        <v>22</v>
      </c>
      <c r="M11" s="25" t="s">
        <v>22</v>
      </c>
      <c r="N11" s="25" t="s">
        <v>22</v>
      </c>
    </row>
    <row r="12" spans="1:15" ht="31.5" hidden="1" customHeight="1">
      <c r="A12" s="3" t="s">
        <v>23</v>
      </c>
      <c r="B12" s="191" t="s">
        <v>22</v>
      </c>
      <c r="C12" s="25" t="s">
        <v>22</v>
      </c>
      <c r="D12" s="25" t="s">
        <v>22</v>
      </c>
      <c r="E12" s="25" t="s">
        <v>22</v>
      </c>
      <c r="F12" s="25" t="s">
        <v>22</v>
      </c>
      <c r="G12" s="25" t="s">
        <v>22</v>
      </c>
      <c r="H12" s="25" t="s">
        <v>22</v>
      </c>
      <c r="I12" s="25" t="s">
        <v>22</v>
      </c>
      <c r="J12" s="25" t="s">
        <v>22</v>
      </c>
      <c r="K12" s="25" t="s">
        <v>22</v>
      </c>
      <c r="L12" s="25" t="s">
        <v>22</v>
      </c>
      <c r="M12" s="25" t="s">
        <v>22</v>
      </c>
      <c r="N12" s="25" t="s">
        <v>22</v>
      </c>
    </row>
    <row r="13" spans="1:15" ht="15.45" hidden="1">
      <c r="A13" s="52" t="s">
        <v>24</v>
      </c>
      <c r="B13" s="191" t="s">
        <v>22</v>
      </c>
      <c r="C13" s="25" t="s">
        <v>22</v>
      </c>
      <c r="D13" s="25" t="s">
        <v>22</v>
      </c>
      <c r="E13" s="25" t="s">
        <v>22</v>
      </c>
      <c r="F13" s="25" t="s">
        <v>22</v>
      </c>
      <c r="G13" s="25" t="s">
        <v>22</v>
      </c>
      <c r="H13" s="25" t="s">
        <v>22</v>
      </c>
      <c r="I13" s="25" t="s">
        <v>22</v>
      </c>
      <c r="J13" s="25" t="s">
        <v>22</v>
      </c>
      <c r="K13" s="25" t="s">
        <v>22</v>
      </c>
      <c r="L13" s="25" t="s">
        <v>22</v>
      </c>
      <c r="M13" s="25" t="s">
        <v>22</v>
      </c>
      <c r="N13" s="25" t="s">
        <v>22</v>
      </c>
    </row>
    <row r="14" spans="1:15" ht="28.3" hidden="1">
      <c r="A14" s="52" t="s">
        <v>25</v>
      </c>
      <c r="B14" s="191" t="s">
        <v>22</v>
      </c>
      <c r="C14" s="25" t="s">
        <v>22</v>
      </c>
      <c r="D14" s="25" t="s">
        <v>22</v>
      </c>
      <c r="E14" s="25" t="s">
        <v>22</v>
      </c>
      <c r="F14" s="25" t="s">
        <v>22</v>
      </c>
      <c r="G14" s="25" t="s">
        <v>22</v>
      </c>
      <c r="H14" s="25" t="s">
        <v>22</v>
      </c>
      <c r="I14" s="25" t="s">
        <v>22</v>
      </c>
      <c r="J14" s="25" t="s">
        <v>22</v>
      </c>
      <c r="K14" s="25" t="s">
        <v>22</v>
      </c>
      <c r="L14" s="25" t="s">
        <v>22</v>
      </c>
      <c r="M14" s="25" t="s">
        <v>22</v>
      </c>
      <c r="N14" s="25" t="s">
        <v>22</v>
      </c>
    </row>
    <row r="15" spans="1:15" ht="22.5" hidden="1" customHeight="1">
      <c r="A15" s="6" t="s">
        <v>19</v>
      </c>
      <c r="B15" s="191" t="s">
        <v>22</v>
      </c>
      <c r="C15" s="25" t="s">
        <v>22</v>
      </c>
      <c r="D15" s="25" t="s">
        <v>22</v>
      </c>
      <c r="E15" s="25" t="s">
        <v>22</v>
      </c>
      <c r="F15" s="25" t="s">
        <v>22</v>
      </c>
      <c r="G15" s="25" t="s">
        <v>22</v>
      </c>
      <c r="H15" s="25" t="s">
        <v>22</v>
      </c>
      <c r="I15" s="25" t="s">
        <v>22</v>
      </c>
      <c r="J15" s="25" t="s">
        <v>22</v>
      </c>
      <c r="K15" s="25" t="s">
        <v>22</v>
      </c>
      <c r="L15" s="25" t="s">
        <v>22</v>
      </c>
      <c r="M15" s="25" t="s">
        <v>22</v>
      </c>
      <c r="N15" s="25" t="s">
        <v>22</v>
      </c>
    </row>
    <row r="16" spans="1:15" ht="22.5" customHeight="1">
      <c r="A16" s="2" t="s">
        <v>26</v>
      </c>
      <c r="B16" s="206" t="s">
        <v>27</v>
      </c>
      <c r="C16" s="10">
        <v>654</v>
      </c>
      <c r="D16" s="10">
        <v>644</v>
      </c>
      <c r="E16" s="10">
        <v>771</v>
      </c>
      <c r="F16" s="10">
        <v>693</v>
      </c>
      <c r="G16" s="10"/>
      <c r="H16" s="10"/>
      <c r="I16" s="10"/>
      <c r="J16" s="10"/>
      <c r="K16" s="10"/>
      <c r="L16" s="10"/>
      <c r="M16" s="10"/>
      <c r="N16" s="10"/>
    </row>
    <row r="17" spans="1:174" ht="22.5" customHeight="1">
      <c r="A17" s="2" t="s">
        <v>28</v>
      </c>
      <c r="B17" s="206" t="s">
        <v>27</v>
      </c>
      <c r="C17" s="10">
        <v>385</v>
      </c>
      <c r="D17" s="10">
        <v>264</v>
      </c>
      <c r="E17" s="10">
        <v>261</v>
      </c>
      <c r="F17" s="10">
        <v>342</v>
      </c>
      <c r="G17" s="10"/>
      <c r="H17" s="10"/>
      <c r="I17" s="10"/>
      <c r="J17" s="49"/>
      <c r="K17" s="10"/>
      <c r="L17" s="10"/>
      <c r="M17" s="10"/>
      <c r="N17" s="10"/>
    </row>
    <row r="18" spans="1:174" ht="22.5" customHeight="1">
      <c r="A18" s="6" t="s">
        <v>19</v>
      </c>
      <c r="B18" s="191" t="s">
        <v>22</v>
      </c>
      <c r="C18" s="25">
        <f>SUM(C16:C17)</f>
        <v>1039</v>
      </c>
      <c r="D18" s="25">
        <f>SUM(D16:D17)</f>
        <v>908</v>
      </c>
      <c r="E18" s="25">
        <f t="shared" ref="E18:F18" si="2">SUM(E16:E17)</f>
        <v>1032</v>
      </c>
      <c r="F18" s="25">
        <f t="shared" si="2"/>
        <v>1035</v>
      </c>
      <c r="G18" s="25"/>
      <c r="H18" s="25"/>
      <c r="I18" s="25"/>
      <c r="J18" s="84"/>
      <c r="K18" s="25"/>
      <c r="L18" s="25"/>
      <c r="M18" s="25"/>
      <c r="N18" s="25"/>
    </row>
    <row r="19" spans="1:174" s="26" customFormat="1" ht="18" customHeight="1">
      <c r="A19" s="4" t="s">
        <v>29</v>
      </c>
      <c r="B19" s="42" t="s">
        <v>3</v>
      </c>
      <c r="C19" s="41" t="s">
        <v>4</v>
      </c>
      <c r="D19" s="41" t="s">
        <v>5</v>
      </c>
      <c r="E19" s="41" t="s">
        <v>6</v>
      </c>
      <c r="F19" s="41" t="s">
        <v>7</v>
      </c>
      <c r="G19" s="41" t="s">
        <v>8</v>
      </c>
      <c r="H19" s="41" t="s">
        <v>9</v>
      </c>
      <c r="I19" s="41" t="s">
        <v>10</v>
      </c>
      <c r="J19" s="41" t="s">
        <v>11</v>
      </c>
      <c r="K19" s="41" t="s">
        <v>12</v>
      </c>
      <c r="L19" s="41" t="s">
        <v>13</v>
      </c>
      <c r="M19" s="41" t="s">
        <v>14</v>
      </c>
      <c r="N19" s="41" t="s">
        <v>15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</row>
    <row r="20" spans="1:174" ht="22.5" customHeight="1">
      <c r="A20" s="2" t="s">
        <v>30</v>
      </c>
      <c r="B20" s="191" t="s">
        <v>22</v>
      </c>
      <c r="C20" s="10">
        <v>52</v>
      </c>
      <c r="D20" s="10">
        <v>32</v>
      </c>
      <c r="E20" s="10">
        <v>35</v>
      </c>
      <c r="F20" s="10">
        <v>47</v>
      </c>
      <c r="G20" s="25"/>
      <c r="H20" s="25"/>
      <c r="I20" s="25"/>
      <c r="J20" s="25"/>
      <c r="K20" s="10"/>
      <c r="L20" s="10"/>
      <c r="M20" s="23"/>
      <c r="N20" s="23"/>
    </row>
    <row r="21" spans="1:174" ht="22.5" customHeight="1">
      <c r="A21" s="2" t="s">
        <v>31</v>
      </c>
      <c r="B21" s="191" t="s">
        <v>22</v>
      </c>
      <c r="C21" s="10">
        <v>199</v>
      </c>
      <c r="D21" s="10">
        <v>117</v>
      </c>
      <c r="E21" s="10">
        <v>114</v>
      </c>
      <c r="F21" s="10">
        <v>136</v>
      </c>
      <c r="G21" s="25"/>
      <c r="H21" s="25"/>
      <c r="I21" s="25"/>
      <c r="J21" s="25"/>
      <c r="K21" s="10"/>
      <c r="L21" s="10"/>
      <c r="M21" s="23"/>
      <c r="N21" s="23"/>
    </row>
    <row r="22" spans="1:174" ht="22.5" customHeight="1">
      <c r="A22" s="2" t="s">
        <v>32</v>
      </c>
      <c r="B22" s="191" t="s">
        <v>22</v>
      </c>
      <c r="C22" s="10">
        <v>10</v>
      </c>
      <c r="D22" s="10">
        <v>12</v>
      </c>
      <c r="E22" s="10">
        <v>14</v>
      </c>
      <c r="F22" s="10">
        <v>25</v>
      </c>
      <c r="G22" s="25"/>
      <c r="H22" s="25"/>
      <c r="I22" s="25"/>
      <c r="J22" s="25"/>
      <c r="K22" s="10"/>
      <c r="L22" s="10"/>
      <c r="M22" s="23"/>
      <c r="N22" s="23"/>
    </row>
    <row r="23" spans="1:174" ht="22.5" customHeight="1">
      <c r="A23" s="2" t="s">
        <v>33</v>
      </c>
      <c r="B23" s="191" t="s">
        <v>22</v>
      </c>
      <c r="C23" s="10">
        <v>97</v>
      </c>
      <c r="D23" s="10">
        <v>69</v>
      </c>
      <c r="E23" s="10">
        <v>73</v>
      </c>
      <c r="F23" s="10">
        <v>95</v>
      </c>
      <c r="G23" s="25"/>
      <c r="H23" s="25"/>
      <c r="I23" s="25"/>
      <c r="J23" s="25"/>
      <c r="K23" s="10"/>
      <c r="L23" s="10"/>
      <c r="M23" s="23"/>
      <c r="N23" s="23"/>
    </row>
    <row r="24" spans="1:174" ht="22.5" customHeight="1">
      <c r="A24" s="2" t="s">
        <v>34</v>
      </c>
      <c r="B24" s="191" t="s">
        <v>22</v>
      </c>
      <c r="C24" s="10">
        <v>27</v>
      </c>
      <c r="D24" s="10">
        <v>34</v>
      </c>
      <c r="E24" s="10">
        <v>25</v>
      </c>
      <c r="F24" s="10">
        <v>39</v>
      </c>
      <c r="G24" s="25"/>
      <c r="H24" s="25"/>
      <c r="I24" s="25"/>
      <c r="J24" s="25"/>
      <c r="K24" s="10"/>
      <c r="L24" s="10"/>
      <c r="M24" s="23"/>
      <c r="N24" s="23"/>
    </row>
    <row r="25" spans="1:174" ht="22.5" customHeight="1">
      <c r="A25" s="6" t="s">
        <v>19</v>
      </c>
      <c r="B25" s="191" t="s">
        <v>22</v>
      </c>
      <c r="C25" s="25">
        <f t="shared" ref="C25:K25" si="3">SUM(C20:C24)</f>
        <v>385</v>
      </c>
      <c r="D25" s="25">
        <f t="shared" si="3"/>
        <v>264</v>
      </c>
      <c r="E25" s="25">
        <f t="shared" si="3"/>
        <v>261</v>
      </c>
      <c r="F25" s="25">
        <v>342</v>
      </c>
      <c r="G25" s="25">
        <f t="shared" si="3"/>
        <v>0</v>
      </c>
      <c r="H25" s="25">
        <f t="shared" si="3"/>
        <v>0</v>
      </c>
      <c r="I25" s="25">
        <f t="shared" si="3"/>
        <v>0</v>
      </c>
      <c r="J25" s="25">
        <f t="shared" si="3"/>
        <v>0</v>
      </c>
      <c r="K25" s="25">
        <f t="shared" si="3"/>
        <v>0</v>
      </c>
      <c r="L25" s="25">
        <f>SUM(L20:L24)</f>
        <v>0</v>
      </c>
      <c r="M25" s="25">
        <f>SUM(M20:M24)</f>
        <v>0</v>
      </c>
      <c r="N25" s="25">
        <f>SUM(N20:N24)</f>
        <v>0</v>
      </c>
    </row>
    <row r="26" spans="1:174" s="26" customFormat="1" ht="37.299999999999997">
      <c r="A26" s="4" t="s">
        <v>35</v>
      </c>
      <c r="B26" s="42" t="s">
        <v>3</v>
      </c>
      <c r="C26" s="41" t="s">
        <v>4</v>
      </c>
      <c r="D26" s="41" t="s">
        <v>5</v>
      </c>
      <c r="E26" s="41" t="s">
        <v>6</v>
      </c>
      <c r="F26" s="41" t="s">
        <v>7</v>
      </c>
      <c r="G26" s="41" t="s">
        <v>8</v>
      </c>
      <c r="H26" s="41" t="s">
        <v>9</v>
      </c>
      <c r="I26" s="41" t="s">
        <v>10</v>
      </c>
      <c r="J26" s="41" t="s">
        <v>11</v>
      </c>
      <c r="K26" s="41" t="s">
        <v>12</v>
      </c>
      <c r="L26" s="41" t="s">
        <v>13</v>
      </c>
      <c r="M26" s="41" t="s">
        <v>14</v>
      </c>
      <c r="N26" s="41" t="s">
        <v>15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</row>
    <row r="27" spans="1:174" s="22" customFormat="1" ht="22.5" customHeight="1">
      <c r="A27" s="2" t="s">
        <v>30</v>
      </c>
      <c r="B27" s="191" t="s">
        <v>22</v>
      </c>
      <c r="C27" s="10">
        <v>23</v>
      </c>
      <c r="D27" s="10">
        <v>36</v>
      </c>
      <c r="E27" s="10">
        <v>34</v>
      </c>
      <c r="F27" s="10">
        <v>15</v>
      </c>
      <c r="G27" s="25"/>
      <c r="H27" s="25"/>
      <c r="I27" s="25"/>
      <c r="J27" s="25"/>
      <c r="K27" s="10"/>
      <c r="L27" s="10"/>
      <c r="M27" s="10"/>
      <c r="N27" s="20"/>
    </row>
    <row r="28" spans="1:174" s="22" customFormat="1" ht="22.5" customHeight="1">
      <c r="A28" s="2" t="s">
        <v>31</v>
      </c>
      <c r="B28" s="191" t="s">
        <v>22</v>
      </c>
      <c r="C28" s="10">
        <v>500</v>
      </c>
      <c r="D28" s="10">
        <v>437</v>
      </c>
      <c r="E28" s="10">
        <v>523</v>
      </c>
      <c r="F28" s="10">
        <v>501</v>
      </c>
      <c r="G28" s="25"/>
      <c r="H28" s="25"/>
      <c r="I28" s="25"/>
      <c r="J28" s="25"/>
      <c r="K28" s="10"/>
      <c r="L28" s="10"/>
      <c r="M28" s="10"/>
      <c r="N28" s="20"/>
    </row>
    <row r="29" spans="1:174" s="22" customFormat="1" ht="22.5" customHeight="1">
      <c r="A29" s="2" t="s">
        <v>32</v>
      </c>
      <c r="B29" s="191" t="s">
        <v>22</v>
      </c>
      <c r="C29" s="10">
        <v>7</v>
      </c>
      <c r="D29" s="10">
        <v>20</v>
      </c>
      <c r="E29" s="10">
        <v>15</v>
      </c>
      <c r="F29" s="10">
        <v>14</v>
      </c>
      <c r="G29" s="25"/>
      <c r="H29" s="25"/>
      <c r="I29" s="25"/>
      <c r="J29" s="25"/>
      <c r="K29" s="10"/>
      <c r="L29" s="10"/>
      <c r="M29" s="10"/>
      <c r="N29" s="20"/>
    </row>
    <row r="30" spans="1:174" ht="22.5" customHeight="1">
      <c r="A30" s="2" t="s">
        <v>33</v>
      </c>
      <c r="B30" s="191" t="s">
        <v>22</v>
      </c>
      <c r="C30" s="10">
        <v>65</v>
      </c>
      <c r="D30" s="10">
        <v>57</v>
      </c>
      <c r="E30" s="10">
        <v>77</v>
      </c>
      <c r="F30" s="10">
        <v>58</v>
      </c>
      <c r="G30" s="25"/>
      <c r="H30" s="25"/>
      <c r="I30" s="25"/>
      <c r="J30" s="25"/>
      <c r="K30" s="10"/>
      <c r="L30" s="10"/>
      <c r="M30" s="10"/>
      <c r="N30" s="10"/>
    </row>
    <row r="31" spans="1:174" s="22" customFormat="1" ht="22.5" customHeight="1">
      <c r="A31" s="2" t="s">
        <v>34</v>
      </c>
      <c r="B31" s="191" t="s">
        <v>22</v>
      </c>
      <c r="C31" s="10">
        <v>59</v>
      </c>
      <c r="D31" s="10">
        <v>94</v>
      </c>
      <c r="E31" s="10">
        <v>122</v>
      </c>
      <c r="F31" s="10">
        <v>105</v>
      </c>
      <c r="G31" s="25"/>
      <c r="H31" s="25"/>
      <c r="I31" s="25"/>
      <c r="J31" s="25"/>
      <c r="K31" s="10"/>
      <c r="L31" s="10"/>
      <c r="M31" s="10"/>
      <c r="N31" s="20"/>
    </row>
    <row r="32" spans="1:174" ht="22.5" customHeight="1">
      <c r="A32" s="6" t="s">
        <v>19</v>
      </c>
      <c r="B32" s="191" t="s">
        <v>22</v>
      </c>
      <c r="C32" s="25">
        <f t="shared" ref="C32:K32" si="4">SUM(C27:C31)</f>
        <v>654</v>
      </c>
      <c r="D32" s="25">
        <f t="shared" si="4"/>
        <v>644</v>
      </c>
      <c r="E32" s="25">
        <f t="shared" si="4"/>
        <v>771</v>
      </c>
      <c r="F32" s="25">
        <f t="shared" si="4"/>
        <v>693</v>
      </c>
      <c r="G32" s="25">
        <f t="shared" si="4"/>
        <v>0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>SUM(L27:L31)</f>
        <v>0</v>
      </c>
      <c r="M32" s="87">
        <f>SUM(M27:M31)</f>
        <v>0</v>
      </c>
      <c r="N32" s="87">
        <f>SUM(N27:N31)</f>
        <v>0</v>
      </c>
    </row>
    <row r="33" spans="1:15" ht="6.75" customHeight="1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</row>
    <row r="34" spans="1:15" ht="37.299999999999997">
      <c r="A34" s="1" t="s">
        <v>36</v>
      </c>
      <c r="B34" s="42" t="s">
        <v>3</v>
      </c>
      <c r="C34" s="41" t="s">
        <v>4</v>
      </c>
      <c r="D34" s="41" t="s">
        <v>5</v>
      </c>
      <c r="E34" s="41" t="s">
        <v>6</v>
      </c>
      <c r="F34" s="41" t="s">
        <v>7</v>
      </c>
      <c r="G34" s="41" t="s">
        <v>8</v>
      </c>
      <c r="H34" s="41" t="s">
        <v>9</v>
      </c>
      <c r="I34" s="41" t="s">
        <v>10</v>
      </c>
      <c r="J34" s="41" t="s">
        <v>11</v>
      </c>
      <c r="K34" s="41" t="s">
        <v>12</v>
      </c>
      <c r="L34" s="41" t="s">
        <v>13</v>
      </c>
      <c r="M34" s="41" t="s">
        <v>14</v>
      </c>
      <c r="N34" s="41" t="s">
        <v>15</v>
      </c>
    </row>
    <row r="35" spans="1:15" ht="24.75" customHeight="1">
      <c r="A35" s="2" t="s">
        <v>37</v>
      </c>
      <c r="B35" s="209">
        <v>3400</v>
      </c>
      <c r="C35" s="11">
        <f>C63</f>
        <v>3220</v>
      </c>
      <c r="D35" s="11">
        <v>2825</v>
      </c>
      <c r="E35" s="11">
        <v>3594</v>
      </c>
      <c r="F35" s="11">
        <v>3287</v>
      </c>
      <c r="G35" s="11"/>
      <c r="H35" s="11"/>
      <c r="I35" s="11"/>
      <c r="J35" s="11"/>
      <c r="K35" s="11"/>
      <c r="L35" s="11"/>
      <c r="M35" s="11"/>
      <c r="N35" s="126"/>
      <c r="O35" s="80"/>
    </row>
    <row r="36" spans="1:15" ht="30">
      <c r="A36" s="2" t="s">
        <v>38</v>
      </c>
      <c r="B36" s="209">
        <v>1700</v>
      </c>
      <c r="C36" s="11">
        <f>C75</f>
        <v>1988</v>
      </c>
      <c r="D36" s="11">
        <v>1593</v>
      </c>
      <c r="E36" s="11">
        <v>2029</v>
      </c>
      <c r="F36" s="10">
        <v>1787</v>
      </c>
      <c r="G36" s="11"/>
      <c r="H36" s="11"/>
      <c r="I36" s="11"/>
      <c r="J36" s="11"/>
      <c r="K36" s="11"/>
      <c r="L36" s="11"/>
      <c r="M36" s="11"/>
      <c r="N36" s="11"/>
      <c r="O36" s="80"/>
    </row>
    <row r="37" spans="1:15" ht="17.600000000000001">
      <c r="A37" s="2" t="s">
        <v>39</v>
      </c>
      <c r="B37" s="207">
        <v>285</v>
      </c>
      <c r="C37" s="11">
        <v>431</v>
      </c>
      <c r="D37" s="11">
        <v>339</v>
      </c>
      <c r="E37" s="11">
        <v>575</v>
      </c>
      <c r="F37" s="11">
        <v>583</v>
      </c>
      <c r="G37" s="11"/>
      <c r="H37" s="11"/>
      <c r="I37" s="11"/>
      <c r="J37" s="11"/>
      <c r="K37" s="11"/>
      <c r="L37" s="11"/>
      <c r="M37" s="11"/>
      <c r="N37" s="11"/>
      <c r="O37" s="80"/>
    </row>
    <row r="38" spans="1:15" ht="17.600000000000001">
      <c r="A38" s="2" t="s">
        <v>40</v>
      </c>
      <c r="B38" s="208" t="s">
        <v>22</v>
      </c>
      <c r="C38" s="43" t="s">
        <v>22</v>
      </c>
      <c r="D38" s="43" t="s">
        <v>22</v>
      </c>
      <c r="E38" s="43" t="s">
        <v>22</v>
      </c>
      <c r="F38" s="43" t="s">
        <v>22</v>
      </c>
      <c r="G38" s="43" t="s">
        <v>22</v>
      </c>
      <c r="H38" s="43" t="s">
        <v>22</v>
      </c>
      <c r="I38" s="43" t="s">
        <v>22</v>
      </c>
      <c r="J38" s="43" t="s">
        <v>22</v>
      </c>
      <c r="K38" s="43" t="s">
        <v>22</v>
      </c>
      <c r="L38" s="43" t="s">
        <v>22</v>
      </c>
      <c r="M38" s="43" t="s">
        <v>22</v>
      </c>
      <c r="N38" s="43" t="s">
        <v>22</v>
      </c>
      <c r="O38" s="80"/>
    </row>
    <row r="39" spans="1:15" ht="17.600000000000001">
      <c r="A39" s="2" t="s">
        <v>19</v>
      </c>
      <c r="B39" s="209">
        <f>SUM(B35:B38)</f>
        <v>5385</v>
      </c>
      <c r="C39" s="29">
        <f t="shared" ref="C39" si="5">SUM(C35:C38)</f>
        <v>5639</v>
      </c>
      <c r="D39" s="29">
        <f t="shared" ref="D39:N39" si="6">SUM(D35:D38)</f>
        <v>4757</v>
      </c>
      <c r="E39" s="29">
        <f t="shared" si="6"/>
        <v>6198</v>
      </c>
      <c r="F39" s="29">
        <f t="shared" si="6"/>
        <v>5657</v>
      </c>
      <c r="G39" s="29">
        <f t="shared" si="6"/>
        <v>0</v>
      </c>
      <c r="H39" s="29">
        <f t="shared" si="6"/>
        <v>0</v>
      </c>
      <c r="I39" s="29">
        <f t="shared" si="6"/>
        <v>0</v>
      </c>
      <c r="J39" s="43">
        <f t="shared" si="6"/>
        <v>0</v>
      </c>
      <c r="K39" s="43">
        <f t="shared" si="6"/>
        <v>0</v>
      </c>
      <c r="L39" s="43">
        <f t="shared" si="6"/>
        <v>0</v>
      </c>
      <c r="M39" s="43">
        <f t="shared" si="6"/>
        <v>0</v>
      </c>
      <c r="N39" s="43">
        <f t="shared" si="6"/>
        <v>0</v>
      </c>
      <c r="O39" s="80"/>
    </row>
    <row r="40" spans="1:15" ht="6" customHeight="1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</row>
    <row r="41" spans="1:15" ht="37.299999999999997">
      <c r="A41" s="4" t="s">
        <v>41</v>
      </c>
      <c r="B41" s="42" t="s">
        <v>3</v>
      </c>
      <c r="C41" s="41" t="s">
        <v>4</v>
      </c>
      <c r="D41" s="41" t="s">
        <v>5</v>
      </c>
      <c r="E41" s="41" t="s">
        <v>6</v>
      </c>
      <c r="F41" s="41" t="s">
        <v>7</v>
      </c>
      <c r="G41" s="41" t="s">
        <v>8</v>
      </c>
      <c r="H41" s="41" t="s">
        <v>9</v>
      </c>
      <c r="I41" s="41" t="s">
        <v>10</v>
      </c>
      <c r="J41" s="41" t="s">
        <v>11</v>
      </c>
      <c r="K41" s="41" t="s">
        <v>12</v>
      </c>
      <c r="L41" s="41" t="s">
        <v>13</v>
      </c>
      <c r="M41" s="41" t="s">
        <v>14</v>
      </c>
      <c r="N41" s="41" t="s">
        <v>15</v>
      </c>
    </row>
    <row r="42" spans="1:15" ht="22.5" customHeight="1">
      <c r="A42" s="27" t="s">
        <v>42</v>
      </c>
      <c r="B42" s="253">
        <v>3400</v>
      </c>
      <c r="C42" s="10">
        <v>0</v>
      </c>
      <c r="D42" s="10">
        <v>0</v>
      </c>
      <c r="E42" s="10">
        <v>0</v>
      </c>
      <c r="F42" s="49">
        <v>0</v>
      </c>
      <c r="G42" s="10"/>
      <c r="H42" s="10"/>
      <c r="I42" s="20"/>
      <c r="J42" s="10"/>
      <c r="K42" s="10"/>
      <c r="L42" s="10"/>
      <c r="M42" s="10"/>
      <c r="N42" s="10"/>
    </row>
    <row r="43" spans="1:15" ht="19.5" customHeight="1">
      <c r="A43" s="27" t="s">
        <v>43</v>
      </c>
      <c r="B43" s="254"/>
      <c r="C43" s="10">
        <v>199</v>
      </c>
      <c r="D43" s="10">
        <v>63</v>
      </c>
      <c r="E43" s="10">
        <v>90</v>
      </c>
      <c r="F43" s="236">
        <v>93</v>
      </c>
      <c r="G43" s="10"/>
      <c r="H43" s="10"/>
      <c r="I43" s="20"/>
      <c r="J43" s="10"/>
      <c r="K43" s="10"/>
      <c r="L43" s="10"/>
      <c r="M43" s="10"/>
      <c r="N43" s="10"/>
    </row>
    <row r="44" spans="1:15" ht="18.75" customHeight="1">
      <c r="A44" s="27" t="s">
        <v>44</v>
      </c>
      <c r="B44" s="254"/>
      <c r="C44" s="10">
        <v>0</v>
      </c>
      <c r="D44" s="10">
        <v>0</v>
      </c>
      <c r="E44" s="10">
        <v>0</v>
      </c>
      <c r="F44" s="236">
        <v>1</v>
      </c>
      <c r="G44" s="10"/>
      <c r="H44" s="10"/>
      <c r="I44" s="20"/>
      <c r="J44" s="10"/>
      <c r="K44" s="10"/>
      <c r="L44" s="10"/>
      <c r="M44" s="10"/>
      <c r="N44" s="10"/>
    </row>
    <row r="45" spans="1:15" ht="18.75" customHeight="1">
      <c r="A45" s="27" t="s">
        <v>45</v>
      </c>
      <c r="B45" s="254"/>
      <c r="C45" s="10">
        <v>197</v>
      </c>
      <c r="D45" s="10">
        <v>191</v>
      </c>
      <c r="E45" s="10">
        <v>235</v>
      </c>
      <c r="F45" s="236">
        <v>301</v>
      </c>
      <c r="G45" s="10"/>
      <c r="H45" s="10"/>
      <c r="I45" s="20"/>
      <c r="J45" s="10"/>
      <c r="K45" s="10"/>
      <c r="L45" s="10"/>
      <c r="M45" s="10"/>
      <c r="N45" s="10"/>
    </row>
    <row r="46" spans="1:15" ht="17.25" customHeight="1">
      <c r="A46" s="27" t="s">
        <v>46</v>
      </c>
      <c r="B46" s="254"/>
      <c r="C46" s="10">
        <v>80</v>
      </c>
      <c r="D46" s="10">
        <v>81</v>
      </c>
      <c r="E46" s="10">
        <v>88</v>
      </c>
      <c r="F46" s="236">
        <v>61</v>
      </c>
      <c r="G46" s="10"/>
      <c r="H46" s="10"/>
      <c r="I46" s="20"/>
      <c r="J46" s="10"/>
      <c r="K46" s="10"/>
      <c r="L46" s="10"/>
      <c r="M46" s="10"/>
      <c r="N46" s="10"/>
    </row>
    <row r="47" spans="1:15" ht="18" customHeight="1">
      <c r="A47" s="27" t="s">
        <v>33</v>
      </c>
      <c r="B47" s="254"/>
      <c r="C47" s="10">
        <v>254</v>
      </c>
      <c r="D47" s="10">
        <v>231</v>
      </c>
      <c r="E47" s="10">
        <v>276</v>
      </c>
      <c r="F47" s="236">
        <v>234</v>
      </c>
      <c r="G47" s="10"/>
      <c r="H47" s="10"/>
      <c r="I47" s="20"/>
      <c r="J47" s="10"/>
      <c r="K47" s="10"/>
      <c r="L47" s="10"/>
      <c r="M47" s="10"/>
      <c r="N47" s="10"/>
    </row>
    <row r="48" spans="1:15" ht="18.75" customHeight="1">
      <c r="A48" s="27" t="s">
        <v>47</v>
      </c>
      <c r="B48" s="254"/>
      <c r="C48" s="10">
        <v>16</v>
      </c>
      <c r="D48" s="10">
        <v>12</v>
      </c>
      <c r="E48" s="10">
        <v>32</v>
      </c>
      <c r="F48" s="236">
        <v>25</v>
      </c>
      <c r="G48" s="10"/>
      <c r="H48" s="10"/>
      <c r="I48" s="20"/>
      <c r="J48" s="10"/>
      <c r="K48" s="10"/>
      <c r="L48" s="10"/>
      <c r="M48" s="10"/>
      <c r="N48" s="10"/>
    </row>
    <row r="49" spans="1:14" ht="21.75" customHeight="1">
      <c r="A49" s="27" t="s">
        <v>48</v>
      </c>
      <c r="B49" s="254"/>
      <c r="C49" s="10">
        <v>25</v>
      </c>
      <c r="D49" s="10">
        <v>27</v>
      </c>
      <c r="E49" s="10">
        <v>20</v>
      </c>
      <c r="F49" s="236">
        <v>17</v>
      </c>
      <c r="G49" s="10"/>
      <c r="H49" s="10"/>
      <c r="I49" s="20"/>
      <c r="J49" s="10"/>
      <c r="K49" s="10"/>
      <c r="L49" s="10"/>
      <c r="M49" s="10"/>
      <c r="N49" s="10"/>
    </row>
    <row r="50" spans="1:14" ht="21" customHeight="1">
      <c r="A50" s="27" t="s">
        <v>49</v>
      </c>
      <c r="B50" s="254"/>
      <c r="C50" s="10">
        <v>54</v>
      </c>
      <c r="D50" s="10">
        <v>60</v>
      </c>
      <c r="E50" s="10">
        <v>88</v>
      </c>
      <c r="F50" s="236">
        <v>74</v>
      </c>
      <c r="G50" s="10"/>
      <c r="H50" s="10"/>
      <c r="I50" s="20"/>
      <c r="J50" s="10"/>
      <c r="K50" s="10"/>
      <c r="L50" s="10"/>
      <c r="M50" s="10"/>
      <c r="N50" s="10"/>
    </row>
    <row r="51" spans="1:14" ht="21" customHeight="1">
      <c r="A51" s="27" t="s">
        <v>50</v>
      </c>
      <c r="B51" s="254"/>
      <c r="C51" s="10">
        <v>45</v>
      </c>
      <c r="D51" s="10">
        <v>28</v>
      </c>
      <c r="E51" s="10">
        <v>35</v>
      </c>
      <c r="F51" s="236">
        <v>21</v>
      </c>
      <c r="G51" s="10"/>
      <c r="H51" s="10"/>
      <c r="I51" s="20"/>
      <c r="J51" s="10"/>
      <c r="K51" s="10"/>
      <c r="L51" s="10"/>
      <c r="M51" s="10"/>
      <c r="N51" s="10"/>
    </row>
    <row r="52" spans="1:14" ht="21" customHeight="1">
      <c r="A52" s="27" t="s">
        <v>51</v>
      </c>
      <c r="B52" s="254"/>
      <c r="C52" s="10">
        <v>189</v>
      </c>
      <c r="D52" s="10">
        <v>168</v>
      </c>
      <c r="E52" s="10">
        <v>251</v>
      </c>
      <c r="F52" s="236">
        <v>213</v>
      </c>
      <c r="G52" s="10"/>
      <c r="H52" s="10"/>
      <c r="I52" s="20"/>
      <c r="J52" s="10"/>
      <c r="K52" s="10"/>
      <c r="L52" s="10"/>
      <c r="M52" s="10"/>
      <c r="N52" s="10"/>
    </row>
    <row r="53" spans="1:14" ht="21" customHeight="1">
      <c r="A53" s="27" t="s">
        <v>52</v>
      </c>
      <c r="B53" s="254"/>
      <c r="C53" s="10">
        <v>100</v>
      </c>
      <c r="D53" s="10">
        <v>81</v>
      </c>
      <c r="E53" s="10">
        <v>105</v>
      </c>
      <c r="F53" s="236">
        <v>81</v>
      </c>
      <c r="G53" s="10"/>
      <c r="H53" s="10"/>
      <c r="I53" s="20"/>
      <c r="J53" s="10"/>
      <c r="K53" s="10"/>
      <c r="L53" s="10"/>
      <c r="M53" s="10"/>
      <c r="N53" s="10"/>
    </row>
    <row r="54" spans="1:14" ht="18" customHeight="1">
      <c r="A54" s="27" t="s">
        <v>53</v>
      </c>
      <c r="B54" s="254"/>
      <c r="C54" s="10">
        <v>27</v>
      </c>
      <c r="D54" s="10">
        <v>15</v>
      </c>
      <c r="E54" s="10">
        <v>25</v>
      </c>
      <c r="F54" s="236">
        <v>21</v>
      </c>
      <c r="G54" s="10"/>
      <c r="H54" s="10"/>
      <c r="I54" s="20"/>
      <c r="J54" s="10"/>
      <c r="K54" s="10"/>
      <c r="L54" s="10"/>
      <c r="M54" s="10"/>
      <c r="N54" s="10"/>
    </row>
    <row r="55" spans="1:14" ht="21" customHeight="1">
      <c r="A55" s="27" t="s">
        <v>54</v>
      </c>
      <c r="B55" s="254"/>
      <c r="C55" s="11">
        <v>1694</v>
      </c>
      <c r="D55" s="11">
        <v>1577</v>
      </c>
      <c r="E55" s="10">
        <v>1854</v>
      </c>
      <c r="F55" s="236">
        <v>1792</v>
      </c>
      <c r="G55" s="10"/>
      <c r="H55" s="10"/>
      <c r="I55" s="20"/>
      <c r="J55" s="10"/>
      <c r="K55" s="10"/>
      <c r="L55" s="10"/>
      <c r="M55" s="10"/>
      <c r="N55" s="10"/>
    </row>
    <row r="56" spans="1:14" ht="21" customHeight="1">
      <c r="A56" s="28" t="s">
        <v>55</v>
      </c>
      <c r="B56" s="254"/>
      <c r="C56" s="10">
        <v>48</v>
      </c>
      <c r="D56" s="10">
        <v>27</v>
      </c>
      <c r="E56" s="10">
        <v>52</v>
      </c>
      <c r="F56" s="236">
        <v>43</v>
      </c>
      <c r="G56" s="10"/>
      <c r="H56" s="10"/>
      <c r="I56" s="20"/>
      <c r="J56" s="10"/>
      <c r="K56" s="10"/>
      <c r="L56" s="10"/>
      <c r="M56" s="10"/>
      <c r="N56" s="10"/>
    </row>
    <row r="57" spans="1:14" ht="21" customHeight="1">
      <c r="A57" s="28" t="s">
        <v>56</v>
      </c>
      <c r="B57" s="254"/>
      <c r="C57" s="10">
        <v>27</v>
      </c>
      <c r="D57" s="10">
        <v>25</v>
      </c>
      <c r="E57" s="10">
        <v>122</v>
      </c>
      <c r="F57" s="236">
        <v>33</v>
      </c>
      <c r="G57" s="10"/>
      <c r="H57" s="10"/>
      <c r="I57" s="20"/>
      <c r="J57" s="10"/>
      <c r="K57" s="10"/>
      <c r="L57" s="10"/>
      <c r="M57" s="10"/>
      <c r="N57" s="10"/>
    </row>
    <row r="58" spans="1:14" ht="21" customHeight="1">
      <c r="A58" s="28" t="s">
        <v>57</v>
      </c>
      <c r="B58" s="254"/>
      <c r="C58" s="10">
        <v>84</v>
      </c>
      <c r="D58" s="10">
        <v>88</v>
      </c>
      <c r="E58" s="10">
        <v>86</v>
      </c>
      <c r="F58" s="236">
        <v>83</v>
      </c>
      <c r="G58" s="10"/>
      <c r="H58" s="10"/>
      <c r="I58" s="20"/>
      <c r="J58" s="10"/>
      <c r="K58" s="10"/>
      <c r="L58" s="10"/>
      <c r="M58" s="10"/>
      <c r="N58" s="10"/>
    </row>
    <row r="59" spans="1:14" ht="21" customHeight="1">
      <c r="A59" s="28" t="s">
        <v>58</v>
      </c>
      <c r="B59" s="254"/>
      <c r="C59" s="10">
        <v>64</v>
      </c>
      <c r="D59" s="10">
        <v>62</v>
      </c>
      <c r="E59" s="10">
        <v>104</v>
      </c>
      <c r="F59" s="236">
        <v>99</v>
      </c>
      <c r="G59" s="10"/>
      <c r="H59" s="10"/>
      <c r="I59" s="20"/>
      <c r="J59" s="10"/>
      <c r="K59" s="10"/>
      <c r="L59" s="10"/>
      <c r="M59" s="10"/>
      <c r="N59" s="10"/>
    </row>
    <row r="60" spans="1:14" ht="21" customHeight="1">
      <c r="A60" s="28" t="s">
        <v>59</v>
      </c>
      <c r="B60" s="254"/>
      <c r="C60" s="10">
        <v>46</v>
      </c>
      <c r="D60" s="10">
        <v>43</v>
      </c>
      <c r="E60" s="10">
        <v>45</v>
      </c>
      <c r="F60" s="236">
        <v>51</v>
      </c>
      <c r="G60" s="10"/>
      <c r="H60" s="10"/>
      <c r="I60" s="20"/>
      <c r="J60" s="10"/>
      <c r="K60" s="10"/>
      <c r="L60" s="10"/>
      <c r="M60" s="10"/>
      <c r="N60" s="10"/>
    </row>
    <row r="61" spans="1:14" ht="21" customHeight="1">
      <c r="A61" s="28" t="s">
        <v>60</v>
      </c>
      <c r="B61" s="254"/>
      <c r="C61" s="10">
        <v>20</v>
      </c>
      <c r="D61" s="10">
        <v>11</v>
      </c>
      <c r="E61" s="10">
        <v>25</v>
      </c>
      <c r="F61" s="236">
        <v>7</v>
      </c>
      <c r="G61" s="10"/>
      <c r="H61" s="10"/>
      <c r="I61" s="20"/>
      <c r="J61" s="10"/>
      <c r="K61" s="10"/>
      <c r="L61" s="10"/>
      <c r="M61" s="10"/>
      <c r="N61" s="10"/>
    </row>
    <row r="62" spans="1:14" ht="21.75" customHeight="1">
      <c r="A62" s="28" t="s">
        <v>61</v>
      </c>
      <c r="B62" s="255"/>
      <c r="C62" s="10">
        <v>51</v>
      </c>
      <c r="D62" s="10">
        <v>35</v>
      </c>
      <c r="E62" s="10">
        <v>61</v>
      </c>
      <c r="F62" s="236">
        <v>37</v>
      </c>
      <c r="G62" s="10"/>
      <c r="H62" s="10"/>
      <c r="I62" s="20"/>
      <c r="J62" s="10"/>
      <c r="K62" s="10"/>
      <c r="L62" s="10"/>
      <c r="M62" s="10"/>
      <c r="N62" s="10"/>
    </row>
    <row r="63" spans="1:14" ht="21.75" customHeight="1">
      <c r="A63" s="28" t="s">
        <v>19</v>
      </c>
      <c r="B63" s="210">
        <f>SUM(B42:B62)</f>
        <v>3400</v>
      </c>
      <c r="C63" s="29">
        <f>SUM(C42:C62)</f>
        <v>3220</v>
      </c>
      <c r="D63" s="29">
        <f t="shared" ref="D63:N63" si="7">SUM(D42:D62)</f>
        <v>2825</v>
      </c>
      <c r="E63" s="29">
        <f t="shared" si="7"/>
        <v>3594</v>
      </c>
      <c r="F63" s="237">
        <v>3287</v>
      </c>
      <c r="G63" s="29">
        <f>SUM(G42:G62)</f>
        <v>0</v>
      </c>
      <c r="H63" s="29">
        <f t="shared" si="7"/>
        <v>0</v>
      </c>
      <c r="I63" s="29">
        <f>SUM(I42:I62)</f>
        <v>0</v>
      </c>
      <c r="J63" s="29">
        <f>SUM(J42:J62)</f>
        <v>0</v>
      </c>
      <c r="K63" s="29">
        <f>SUM(K42:K62)</f>
        <v>0</v>
      </c>
      <c r="L63" s="29">
        <f t="shared" si="7"/>
        <v>0</v>
      </c>
      <c r="M63" s="29">
        <f t="shared" si="7"/>
        <v>0</v>
      </c>
      <c r="N63" s="29">
        <f t="shared" si="7"/>
        <v>0</v>
      </c>
    </row>
    <row r="64" spans="1:14" ht="11.25" customHeight="1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</row>
    <row r="65" spans="1:15" ht="37.299999999999997">
      <c r="A65" s="4" t="s">
        <v>62</v>
      </c>
      <c r="B65" s="42" t="s">
        <v>3</v>
      </c>
      <c r="C65" s="41" t="s">
        <v>4</v>
      </c>
      <c r="D65" s="41" t="s">
        <v>5</v>
      </c>
      <c r="E65" s="41" t="s">
        <v>6</v>
      </c>
      <c r="F65" s="41" t="s">
        <v>7</v>
      </c>
      <c r="G65" s="41" t="s">
        <v>8</v>
      </c>
      <c r="H65" s="41" t="s">
        <v>9</v>
      </c>
      <c r="I65" s="41" t="s">
        <v>10</v>
      </c>
      <c r="J65" s="41" t="s">
        <v>11</v>
      </c>
      <c r="K65" s="41" t="s">
        <v>12</v>
      </c>
      <c r="L65" s="41" t="s">
        <v>13</v>
      </c>
      <c r="M65" s="41" t="s">
        <v>14</v>
      </c>
      <c r="N65" s="41" t="s">
        <v>15</v>
      </c>
    </row>
    <row r="66" spans="1:15" ht="21" customHeight="1">
      <c r="A66" s="8" t="s">
        <v>63</v>
      </c>
      <c r="B66" s="253">
        <v>1700</v>
      </c>
      <c r="C66" s="11">
        <v>97</v>
      </c>
      <c r="D66" s="11">
        <v>72</v>
      </c>
      <c r="E66" s="11">
        <v>97</v>
      </c>
      <c r="F66" s="11">
        <v>104</v>
      </c>
      <c r="G66" s="11"/>
      <c r="H66" s="11"/>
      <c r="I66" s="47"/>
      <c r="J66" s="11"/>
      <c r="K66" s="11"/>
      <c r="L66" s="11"/>
      <c r="M66" s="11"/>
      <c r="N66" s="11"/>
    </row>
    <row r="67" spans="1:15" ht="19.5" customHeight="1">
      <c r="A67" s="8" t="s">
        <v>64</v>
      </c>
      <c r="B67" s="254"/>
      <c r="C67" s="11">
        <v>1828</v>
      </c>
      <c r="D67" s="11">
        <v>1469</v>
      </c>
      <c r="E67" s="11">
        <v>1784</v>
      </c>
      <c r="F67" s="11">
        <v>1501</v>
      </c>
      <c r="G67" s="11"/>
      <c r="H67" s="11"/>
      <c r="I67" s="47"/>
      <c r="J67" s="11"/>
      <c r="K67" s="11"/>
      <c r="L67" s="11"/>
      <c r="M67" s="11"/>
      <c r="N67" s="11"/>
    </row>
    <row r="68" spans="1:15" ht="18" customHeight="1">
      <c r="A68" s="8" t="s">
        <v>65</v>
      </c>
      <c r="B68" s="254"/>
      <c r="C68" s="11">
        <v>0</v>
      </c>
      <c r="D68" s="11">
        <v>0</v>
      </c>
      <c r="E68" s="11">
        <v>0</v>
      </c>
      <c r="F68" s="11">
        <v>0</v>
      </c>
      <c r="G68" s="11"/>
      <c r="H68" s="11"/>
      <c r="I68" s="47"/>
      <c r="J68" s="11"/>
      <c r="K68" s="11"/>
      <c r="L68" s="11"/>
      <c r="M68" s="11"/>
      <c r="N68" s="11"/>
    </row>
    <row r="69" spans="1:15" ht="18.75" customHeight="1">
      <c r="A69" s="8" t="s">
        <v>66</v>
      </c>
      <c r="B69" s="254"/>
      <c r="C69" s="11">
        <v>0</v>
      </c>
      <c r="D69" s="11">
        <v>0</v>
      </c>
      <c r="E69" s="11">
        <v>0</v>
      </c>
      <c r="F69" s="11">
        <v>0</v>
      </c>
      <c r="G69" s="11"/>
      <c r="H69" s="11"/>
      <c r="I69" s="47"/>
      <c r="J69" s="11"/>
      <c r="K69" s="11"/>
      <c r="L69" s="11"/>
      <c r="M69" s="11"/>
      <c r="N69" s="11"/>
    </row>
    <row r="70" spans="1:15" ht="19.5" customHeight="1">
      <c r="A70" s="8" t="s">
        <v>67</v>
      </c>
      <c r="B70" s="254"/>
      <c r="C70" s="11">
        <v>28</v>
      </c>
      <c r="D70" s="11">
        <v>29</v>
      </c>
      <c r="E70" s="11">
        <v>102</v>
      </c>
      <c r="F70" s="11">
        <v>106</v>
      </c>
      <c r="G70" s="11"/>
      <c r="H70" s="11"/>
      <c r="I70" s="47"/>
      <c r="J70" s="11"/>
      <c r="K70" s="11"/>
      <c r="L70" s="11"/>
      <c r="M70" s="11"/>
      <c r="N70" s="11"/>
    </row>
    <row r="71" spans="1:15" ht="19.5" customHeight="1">
      <c r="A71" s="8" t="s">
        <v>68</v>
      </c>
      <c r="B71" s="254"/>
      <c r="C71" s="11">
        <v>0</v>
      </c>
      <c r="D71" s="11">
        <v>0</v>
      </c>
      <c r="E71" s="11">
        <v>0</v>
      </c>
      <c r="F71" s="11">
        <v>0</v>
      </c>
      <c r="G71" s="11"/>
      <c r="H71" s="11"/>
      <c r="I71" s="47"/>
      <c r="J71" s="11"/>
      <c r="K71" s="11"/>
      <c r="L71" s="11"/>
      <c r="M71" s="11"/>
      <c r="N71" s="11"/>
    </row>
    <row r="72" spans="1:15" ht="19.5" customHeight="1">
      <c r="A72" s="3" t="s">
        <v>69</v>
      </c>
      <c r="B72" s="254"/>
      <c r="C72" s="11">
        <v>0</v>
      </c>
      <c r="D72" s="11">
        <v>0</v>
      </c>
      <c r="E72" s="11">
        <v>0</v>
      </c>
      <c r="F72" s="11">
        <v>0</v>
      </c>
      <c r="G72" s="11"/>
      <c r="H72" s="11"/>
      <c r="I72" s="47"/>
      <c r="J72" s="11"/>
      <c r="K72" s="11"/>
      <c r="L72" s="11"/>
      <c r="M72" s="11"/>
      <c r="N72" s="11"/>
    </row>
    <row r="73" spans="1:15" ht="19.5" customHeight="1">
      <c r="A73" s="3" t="s">
        <v>70</v>
      </c>
      <c r="B73" s="254"/>
      <c r="C73" s="11">
        <v>35</v>
      </c>
      <c r="D73" s="11">
        <v>23</v>
      </c>
      <c r="E73" s="11">
        <v>19</v>
      </c>
      <c r="F73" s="11">
        <v>8</v>
      </c>
      <c r="G73" s="11"/>
      <c r="H73" s="11"/>
      <c r="I73" s="47"/>
      <c r="J73" s="11"/>
      <c r="K73" s="11"/>
      <c r="L73" s="11"/>
      <c r="M73" s="11"/>
      <c r="N73" s="11"/>
    </row>
    <row r="74" spans="1:15" ht="18" customHeight="1">
      <c r="A74" s="3" t="s">
        <v>71</v>
      </c>
      <c r="B74" s="255"/>
      <c r="C74" s="11">
        <v>0</v>
      </c>
      <c r="D74" s="11">
        <v>0</v>
      </c>
      <c r="E74" s="11">
        <v>0</v>
      </c>
      <c r="F74" s="11">
        <v>68</v>
      </c>
      <c r="G74" s="11"/>
      <c r="H74" s="11"/>
      <c r="I74" s="47"/>
      <c r="J74" s="11"/>
      <c r="K74" s="11"/>
      <c r="L74" s="11"/>
      <c r="M74" s="11"/>
      <c r="N74" s="11"/>
    </row>
    <row r="75" spans="1:15" ht="18" customHeight="1">
      <c r="A75" s="3" t="s">
        <v>19</v>
      </c>
      <c r="B75" s="210">
        <f>SUM(B66:B74)</f>
        <v>1700</v>
      </c>
      <c r="C75" s="29">
        <f>SUM(C66:C74)</f>
        <v>1988</v>
      </c>
      <c r="D75" s="29">
        <f>SUM(D66:D74)</f>
        <v>1593</v>
      </c>
      <c r="E75" s="29">
        <f>SUM(E66:E74)</f>
        <v>2002</v>
      </c>
      <c r="F75" s="29">
        <f>SUM(F66:F74)</f>
        <v>1787</v>
      </c>
      <c r="G75" s="29">
        <f t="shared" ref="G75:N75" si="8">SUM(G66:G74)</f>
        <v>0</v>
      </c>
      <c r="H75" s="29">
        <f t="shared" si="8"/>
        <v>0</v>
      </c>
      <c r="I75" s="29">
        <f t="shared" si="8"/>
        <v>0</v>
      </c>
      <c r="J75" s="29">
        <f t="shared" si="8"/>
        <v>0</v>
      </c>
      <c r="K75" s="29">
        <f t="shared" si="8"/>
        <v>0</v>
      </c>
      <c r="L75" s="29">
        <f t="shared" si="8"/>
        <v>0</v>
      </c>
      <c r="M75" s="29">
        <f t="shared" si="8"/>
        <v>0</v>
      </c>
      <c r="N75" s="11">
        <f t="shared" si="8"/>
        <v>0</v>
      </c>
      <c r="O75" s="80"/>
    </row>
    <row r="76" spans="1:15" ht="9.75" customHeight="1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</row>
    <row r="77" spans="1:15" ht="37.299999999999997">
      <c r="A77" s="30" t="s">
        <v>72</v>
      </c>
      <c r="B77" s="42" t="s">
        <v>3</v>
      </c>
      <c r="C77" s="41" t="s">
        <v>4</v>
      </c>
      <c r="D77" s="41" t="s">
        <v>5</v>
      </c>
      <c r="E77" s="41" t="s">
        <v>6</v>
      </c>
      <c r="F77" s="41" t="s">
        <v>7</v>
      </c>
      <c r="G77" s="41" t="s">
        <v>8</v>
      </c>
      <c r="H77" s="41" t="s">
        <v>9</v>
      </c>
      <c r="I77" s="41" t="s">
        <v>10</v>
      </c>
      <c r="J77" s="41" t="s">
        <v>11</v>
      </c>
      <c r="K77" s="41" t="s">
        <v>12</v>
      </c>
      <c r="L77" s="41" t="s">
        <v>13</v>
      </c>
      <c r="M77" s="41" t="s">
        <v>14</v>
      </c>
      <c r="N77" s="41" t="s">
        <v>15</v>
      </c>
    </row>
    <row r="78" spans="1:15" ht="21.75" customHeight="1">
      <c r="A78" s="31" t="s">
        <v>73</v>
      </c>
      <c r="B78" s="211">
        <v>365</v>
      </c>
      <c r="C78" s="10">
        <v>408</v>
      </c>
      <c r="D78" s="10">
        <v>312</v>
      </c>
      <c r="E78" s="49">
        <v>746</v>
      </c>
      <c r="F78" s="10">
        <v>913</v>
      </c>
      <c r="G78" s="10"/>
      <c r="H78" s="10"/>
      <c r="I78" s="10"/>
      <c r="J78" s="44"/>
      <c r="K78" s="44"/>
      <c r="L78" s="44"/>
      <c r="M78" s="44"/>
      <c r="N78" s="44"/>
    </row>
    <row r="79" spans="1:15" ht="10.5" customHeight="1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</row>
    <row r="80" spans="1:15" ht="37.299999999999997">
      <c r="A80" s="1" t="s">
        <v>74</v>
      </c>
      <c r="B80" s="42" t="s">
        <v>3</v>
      </c>
      <c r="C80" s="41" t="s">
        <v>4</v>
      </c>
      <c r="D80" s="41" t="s">
        <v>5</v>
      </c>
      <c r="E80" s="41" t="s">
        <v>6</v>
      </c>
      <c r="F80" s="41" t="s">
        <v>7</v>
      </c>
      <c r="G80" s="41" t="s">
        <v>8</v>
      </c>
      <c r="H80" s="41" t="s">
        <v>9</v>
      </c>
      <c r="I80" s="41" t="s">
        <v>10</v>
      </c>
      <c r="J80" s="41" t="s">
        <v>11</v>
      </c>
      <c r="K80" s="41" t="s">
        <v>12</v>
      </c>
      <c r="L80" s="41" t="s">
        <v>13</v>
      </c>
      <c r="M80" s="41" t="s">
        <v>14</v>
      </c>
      <c r="N80" s="41" t="s">
        <v>15</v>
      </c>
    </row>
    <row r="81" spans="1:14" ht="16.5" customHeight="1">
      <c r="A81" s="20" t="s">
        <v>75</v>
      </c>
      <c r="B81" s="191">
        <v>100</v>
      </c>
      <c r="C81" s="10">
        <v>96</v>
      </c>
      <c r="D81" s="10">
        <v>102</v>
      </c>
      <c r="E81" s="10">
        <v>68</v>
      </c>
      <c r="F81" s="10">
        <v>64</v>
      </c>
      <c r="G81" s="10"/>
      <c r="H81" s="20"/>
      <c r="I81" s="20"/>
      <c r="J81" s="20"/>
      <c r="K81" s="20"/>
      <c r="L81" s="96"/>
      <c r="M81" s="10"/>
      <c r="N81" s="20"/>
    </row>
    <row r="82" spans="1:14" ht="16.5" customHeight="1">
      <c r="A82" s="20" t="s">
        <v>76</v>
      </c>
      <c r="B82" s="191">
        <v>80</v>
      </c>
      <c r="C82" s="10">
        <v>55</v>
      </c>
      <c r="D82" s="10">
        <v>81</v>
      </c>
      <c r="E82" s="10">
        <v>51</v>
      </c>
      <c r="F82" s="10">
        <v>51</v>
      </c>
      <c r="G82" s="10"/>
      <c r="H82" s="20"/>
      <c r="I82" s="20"/>
      <c r="J82" s="20"/>
      <c r="K82" s="20"/>
      <c r="L82" s="96"/>
      <c r="M82" s="10"/>
      <c r="N82" s="20"/>
    </row>
    <row r="83" spans="1:14" ht="16.5" customHeight="1">
      <c r="A83" s="20" t="s">
        <v>77</v>
      </c>
      <c r="B83" s="191">
        <v>20</v>
      </c>
      <c r="C83" s="10">
        <v>0</v>
      </c>
      <c r="D83" s="10">
        <v>0</v>
      </c>
      <c r="E83" s="10">
        <v>0</v>
      </c>
      <c r="F83" s="10">
        <v>0</v>
      </c>
      <c r="G83" s="10"/>
      <c r="H83" s="20"/>
      <c r="I83" s="20"/>
      <c r="J83" s="20"/>
      <c r="K83" s="20"/>
      <c r="L83" s="96"/>
      <c r="M83" s="10"/>
      <c r="N83" s="20"/>
    </row>
    <row r="84" spans="1:14" ht="17.25" customHeight="1">
      <c r="A84" s="20" t="s">
        <v>78</v>
      </c>
      <c r="B84" s="191">
        <v>125</v>
      </c>
      <c r="C84" s="10">
        <v>231</v>
      </c>
      <c r="D84" s="10">
        <v>226</v>
      </c>
      <c r="E84" s="10">
        <v>286</v>
      </c>
      <c r="F84" s="10">
        <v>190</v>
      </c>
      <c r="G84" s="10"/>
      <c r="H84" s="20"/>
      <c r="I84" s="20"/>
      <c r="J84" s="20"/>
      <c r="K84" s="20"/>
      <c r="L84" s="96"/>
      <c r="M84" s="10"/>
      <c r="N84" s="127"/>
    </row>
    <row r="85" spans="1:14" ht="16.5" customHeight="1">
      <c r="A85" s="20" t="s">
        <v>79</v>
      </c>
      <c r="B85" s="191">
        <v>60</v>
      </c>
      <c r="C85" s="10">
        <v>130</v>
      </c>
      <c r="D85" s="10">
        <v>84</v>
      </c>
      <c r="E85" s="10">
        <v>96</v>
      </c>
      <c r="F85" s="10">
        <v>96</v>
      </c>
      <c r="G85" s="10"/>
      <c r="H85" s="20"/>
      <c r="I85" s="20"/>
      <c r="J85" s="20"/>
      <c r="K85" s="20"/>
      <c r="L85" s="96"/>
      <c r="M85" s="10"/>
      <c r="N85" s="20"/>
    </row>
    <row r="86" spans="1:14" ht="16.5" customHeight="1">
      <c r="A86" s="20" t="s">
        <v>80</v>
      </c>
      <c r="B86" s="191">
        <v>80</v>
      </c>
      <c r="C86" s="10">
        <v>147</v>
      </c>
      <c r="D86" s="10">
        <v>107</v>
      </c>
      <c r="E86" s="10">
        <v>88</v>
      </c>
      <c r="F86" s="10">
        <v>88</v>
      </c>
      <c r="G86" s="10"/>
      <c r="H86" s="20"/>
      <c r="I86" s="20"/>
      <c r="J86" s="20"/>
      <c r="K86" s="20"/>
      <c r="L86" s="96"/>
      <c r="M86" s="10"/>
      <c r="N86" s="20"/>
    </row>
    <row r="87" spans="1:14" s="22" customFormat="1" ht="16.5" customHeight="1">
      <c r="A87" s="20" t="s">
        <v>81</v>
      </c>
      <c r="B87" s="191" t="s">
        <v>22</v>
      </c>
      <c r="C87" s="25" t="s">
        <v>22</v>
      </c>
      <c r="D87" s="25" t="s">
        <v>22</v>
      </c>
      <c r="E87" s="25" t="s">
        <v>22</v>
      </c>
      <c r="F87" s="25" t="s">
        <v>22</v>
      </c>
      <c r="G87" s="25" t="s">
        <v>22</v>
      </c>
      <c r="H87" s="45" t="s">
        <v>22</v>
      </c>
      <c r="I87" s="45" t="s">
        <v>22</v>
      </c>
      <c r="J87" s="45" t="s">
        <v>22</v>
      </c>
      <c r="K87" s="45" t="s">
        <v>22</v>
      </c>
      <c r="L87" s="45" t="s">
        <v>22</v>
      </c>
      <c r="M87" s="25" t="s">
        <v>22</v>
      </c>
      <c r="N87" s="45" t="s">
        <v>22</v>
      </c>
    </row>
    <row r="88" spans="1:14" ht="16.5" customHeight="1">
      <c r="A88" s="20" t="s">
        <v>82</v>
      </c>
      <c r="B88" s="191" t="s">
        <v>22</v>
      </c>
      <c r="C88" s="25" t="s">
        <v>22</v>
      </c>
      <c r="D88" s="25" t="s">
        <v>22</v>
      </c>
      <c r="E88" s="25" t="s">
        <v>22</v>
      </c>
      <c r="F88" s="25" t="s">
        <v>22</v>
      </c>
      <c r="G88" s="25" t="s">
        <v>22</v>
      </c>
      <c r="H88" s="45" t="s">
        <v>22</v>
      </c>
      <c r="I88" s="45" t="s">
        <v>22</v>
      </c>
      <c r="J88" s="45" t="s">
        <v>22</v>
      </c>
      <c r="K88" s="45" t="s">
        <v>22</v>
      </c>
      <c r="L88" s="45" t="s">
        <v>22</v>
      </c>
      <c r="M88" s="25" t="s">
        <v>22</v>
      </c>
      <c r="N88" s="45" t="s">
        <v>22</v>
      </c>
    </row>
    <row r="89" spans="1:14" ht="16.5" customHeight="1">
      <c r="A89" s="20" t="s">
        <v>83</v>
      </c>
      <c r="B89" s="191" t="s">
        <v>22</v>
      </c>
      <c r="C89" s="25" t="s">
        <v>22</v>
      </c>
      <c r="D89" s="25" t="s">
        <v>22</v>
      </c>
      <c r="E89" s="25" t="s">
        <v>22</v>
      </c>
      <c r="F89" s="25" t="s">
        <v>22</v>
      </c>
      <c r="G89" s="25" t="s">
        <v>22</v>
      </c>
      <c r="H89" s="45" t="s">
        <v>22</v>
      </c>
      <c r="I89" s="45" t="s">
        <v>22</v>
      </c>
      <c r="J89" s="45" t="s">
        <v>22</v>
      </c>
      <c r="K89" s="45" t="s">
        <v>22</v>
      </c>
      <c r="L89" s="45" t="s">
        <v>22</v>
      </c>
      <c r="M89" s="25" t="s">
        <v>22</v>
      </c>
      <c r="N89" s="45" t="s">
        <v>22</v>
      </c>
    </row>
    <row r="90" spans="1:14" ht="16.5" customHeight="1">
      <c r="A90" s="20" t="s">
        <v>19</v>
      </c>
      <c r="B90" s="191">
        <f>SUM(B81:B86)</f>
        <v>465</v>
      </c>
      <c r="C90" s="25">
        <f t="shared" ref="C90:H90" si="9">SUM(C81:C86)</f>
        <v>659</v>
      </c>
      <c r="D90" s="25">
        <f t="shared" si="9"/>
        <v>600</v>
      </c>
      <c r="E90" s="25">
        <f t="shared" si="9"/>
        <v>589</v>
      </c>
      <c r="F90" s="25">
        <f t="shared" si="9"/>
        <v>489</v>
      </c>
      <c r="G90" s="25">
        <f t="shared" si="9"/>
        <v>0</v>
      </c>
      <c r="H90" s="45">
        <f t="shared" si="9"/>
        <v>0</v>
      </c>
      <c r="I90" s="45">
        <f>SUM(I81:I89)</f>
        <v>0</v>
      </c>
      <c r="J90" s="45">
        <f>SUM(J81:J89)</f>
        <v>0</v>
      </c>
      <c r="K90" s="45">
        <f>SUM(K81:K86)</f>
        <v>0</v>
      </c>
      <c r="L90" s="45">
        <f>SUM(L81:L86)</f>
        <v>0</v>
      </c>
      <c r="M90" s="25">
        <f>SUM(M81:M86)</f>
        <v>0</v>
      </c>
      <c r="N90" s="45">
        <f>SUM(N81:N86)</f>
        <v>0</v>
      </c>
    </row>
    <row r="91" spans="1:14" ht="37.299999999999997">
      <c r="A91" s="81" t="s">
        <v>84</v>
      </c>
      <c r="B91" s="83" t="s">
        <v>3</v>
      </c>
      <c r="C91" s="82" t="s">
        <v>4</v>
      </c>
      <c r="D91" s="82" t="s">
        <v>5</v>
      </c>
      <c r="E91" s="82" t="s">
        <v>6</v>
      </c>
      <c r="F91" s="82" t="s">
        <v>7</v>
      </c>
      <c r="G91" s="82" t="s">
        <v>8</v>
      </c>
      <c r="H91" s="82" t="s">
        <v>9</v>
      </c>
      <c r="I91" s="82" t="s">
        <v>10</v>
      </c>
      <c r="J91" s="82" t="s">
        <v>11</v>
      </c>
      <c r="K91" s="82" t="s">
        <v>12</v>
      </c>
      <c r="L91" s="82" t="s">
        <v>13</v>
      </c>
      <c r="M91" s="82" t="s">
        <v>14</v>
      </c>
      <c r="N91" s="82" t="s">
        <v>15</v>
      </c>
    </row>
    <row r="92" spans="1:14" ht="21" customHeight="1">
      <c r="A92" s="12" t="s">
        <v>85</v>
      </c>
      <c r="B92" s="212">
        <v>100</v>
      </c>
      <c r="C92" s="85">
        <v>53</v>
      </c>
      <c r="D92" s="85">
        <v>52</v>
      </c>
      <c r="E92" s="85">
        <v>30</v>
      </c>
      <c r="F92" s="85">
        <v>31</v>
      </c>
      <c r="G92" s="85"/>
      <c r="H92" s="85"/>
      <c r="I92" s="85"/>
      <c r="J92" s="85"/>
      <c r="K92" s="85"/>
      <c r="L92" s="20"/>
      <c r="M92" s="85"/>
      <c r="N92" s="85"/>
    </row>
    <row r="93" spans="1:14" ht="21" customHeight="1">
      <c r="A93" s="12" t="s">
        <v>86</v>
      </c>
      <c r="B93" s="212">
        <v>80</v>
      </c>
      <c r="C93" s="85">
        <v>32</v>
      </c>
      <c r="D93" s="85">
        <v>53</v>
      </c>
      <c r="E93" s="85">
        <v>35</v>
      </c>
      <c r="F93" s="85">
        <v>32</v>
      </c>
      <c r="G93" s="85"/>
      <c r="H93" s="85"/>
      <c r="I93" s="85"/>
      <c r="J93" s="85"/>
      <c r="K93" s="85"/>
      <c r="L93" s="20"/>
      <c r="M93" s="85"/>
      <c r="N93" s="85"/>
    </row>
    <row r="94" spans="1:14" ht="19.5" customHeight="1">
      <c r="A94" s="12" t="s">
        <v>87</v>
      </c>
      <c r="B94" s="212">
        <v>20</v>
      </c>
      <c r="C94" s="85">
        <v>0</v>
      </c>
      <c r="D94" s="85">
        <v>0</v>
      </c>
      <c r="E94" s="85">
        <v>0</v>
      </c>
      <c r="F94" s="85">
        <v>0</v>
      </c>
      <c r="G94" s="85"/>
      <c r="H94" s="85"/>
      <c r="I94" s="85"/>
      <c r="J94" s="85"/>
      <c r="K94" s="85"/>
      <c r="L94" s="20"/>
      <c r="M94" s="85"/>
      <c r="N94" s="85"/>
    </row>
    <row r="95" spans="1:14" ht="21.75" customHeight="1">
      <c r="A95" s="48" t="s">
        <v>78</v>
      </c>
      <c r="B95" s="212">
        <v>125</v>
      </c>
      <c r="C95" s="85">
        <v>279</v>
      </c>
      <c r="D95" s="85">
        <v>237</v>
      </c>
      <c r="E95" s="85">
        <v>338</v>
      </c>
      <c r="F95" s="85">
        <v>234</v>
      </c>
      <c r="G95" s="85"/>
      <c r="H95" s="85"/>
      <c r="I95" s="85"/>
      <c r="J95" s="85"/>
      <c r="K95" s="85"/>
      <c r="L95" s="20"/>
      <c r="M95" s="85"/>
      <c r="N95" s="85"/>
    </row>
    <row r="96" spans="1:14" ht="20.25" customHeight="1">
      <c r="A96" s="49" t="s">
        <v>88</v>
      </c>
      <c r="B96" s="212">
        <v>60</v>
      </c>
      <c r="C96" s="85">
        <v>66</v>
      </c>
      <c r="D96" s="85">
        <v>43</v>
      </c>
      <c r="E96" s="85">
        <v>59</v>
      </c>
      <c r="F96" s="85">
        <v>64</v>
      </c>
      <c r="G96" s="85"/>
      <c r="H96" s="85"/>
      <c r="I96" s="85"/>
      <c r="J96" s="85"/>
      <c r="K96" s="85"/>
      <c r="L96" s="20"/>
      <c r="M96" s="85"/>
      <c r="N96" s="85"/>
    </row>
    <row r="97" spans="1:174" ht="21" customHeight="1">
      <c r="A97" s="49" t="s">
        <v>89</v>
      </c>
      <c r="B97" s="212">
        <v>80</v>
      </c>
      <c r="C97" s="85">
        <f>91+26</f>
        <v>117</v>
      </c>
      <c r="D97" s="85">
        <f>39+35</f>
        <v>74</v>
      </c>
      <c r="E97" s="85">
        <v>107</v>
      </c>
      <c r="F97" s="85">
        <f>69+88</f>
        <v>157</v>
      </c>
      <c r="G97" s="85"/>
      <c r="H97" s="85"/>
      <c r="I97" s="85"/>
      <c r="J97" s="85"/>
      <c r="K97" s="85"/>
      <c r="L97" s="20"/>
      <c r="M97" s="85"/>
      <c r="N97" s="85"/>
    </row>
    <row r="98" spans="1:174" ht="22.5" customHeight="1">
      <c r="A98" s="12" t="s">
        <v>81</v>
      </c>
      <c r="B98" s="212" t="s">
        <v>22</v>
      </c>
      <c r="C98" s="84" t="s">
        <v>22</v>
      </c>
      <c r="D98" s="84" t="s">
        <v>22</v>
      </c>
      <c r="E98" s="84" t="s">
        <v>22</v>
      </c>
      <c r="F98" s="84" t="s">
        <v>22</v>
      </c>
      <c r="G98" s="84" t="s">
        <v>22</v>
      </c>
      <c r="H98" s="84" t="s">
        <v>22</v>
      </c>
      <c r="I98" s="84" t="s">
        <v>22</v>
      </c>
      <c r="J98" s="84" t="s">
        <v>22</v>
      </c>
      <c r="K98" s="84" t="s">
        <v>22</v>
      </c>
      <c r="L98" s="84" t="s">
        <v>22</v>
      </c>
      <c r="M98" s="84" t="s">
        <v>22</v>
      </c>
      <c r="N98" s="84" t="s">
        <v>22</v>
      </c>
    </row>
    <row r="99" spans="1:174" ht="20.25" customHeight="1">
      <c r="A99" s="49" t="s">
        <v>82</v>
      </c>
      <c r="B99" s="212" t="s">
        <v>90</v>
      </c>
      <c r="C99" s="84" t="s">
        <v>90</v>
      </c>
      <c r="D99" s="84" t="s">
        <v>90</v>
      </c>
      <c r="E99" s="84" t="s">
        <v>90</v>
      </c>
      <c r="F99" s="84" t="s">
        <v>22</v>
      </c>
      <c r="G99" s="84" t="s">
        <v>22</v>
      </c>
      <c r="H99" s="84" t="s">
        <v>22</v>
      </c>
      <c r="I99" s="84" t="s">
        <v>22</v>
      </c>
      <c r="J99" s="84" t="s">
        <v>22</v>
      </c>
      <c r="K99" s="84" t="s">
        <v>90</v>
      </c>
      <c r="L99" s="84" t="s">
        <v>90</v>
      </c>
      <c r="M99" s="84" t="s">
        <v>90</v>
      </c>
      <c r="N99" s="84" t="s">
        <v>90</v>
      </c>
    </row>
    <row r="100" spans="1:174" ht="21.75" customHeight="1">
      <c r="A100" s="12" t="s">
        <v>83</v>
      </c>
      <c r="B100" s="212" t="s">
        <v>22</v>
      </c>
      <c r="C100" s="84" t="s">
        <v>22</v>
      </c>
      <c r="D100" s="84" t="s">
        <v>22</v>
      </c>
      <c r="E100" s="84" t="s">
        <v>22</v>
      </c>
      <c r="F100" s="84" t="s">
        <v>22</v>
      </c>
      <c r="G100" s="84" t="s">
        <v>22</v>
      </c>
      <c r="H100" s="84" t="s">
        <v>22</v>
      </c>
      <c r="I100" s="84" t="s">
        <v>22</v>
      </c>
      <c r="J100" s="84" t="s">
        <v>22</v>
      </c>
      <c r="K100" s="84" t="s">
        <v>22</v>
      </c>
      <c r="L100" s="84" t="s">
        <v>22</v>
      </c>
      <c r="M100" s="84" t="s">
        <v>22</v>
      </c>
      <c r="N100" s="84" t="s">
        <v>22</v>
      </c>
    </row>
    <row r="101" spans="1:174" ht="20.25" customHeight="1">
      <c r="A101" s="16" t="s">
        <v>91</v>
      </c>
      <c r="B101" s="213">
        <v>465</v>
      </c>
      <c r="C101" s="86">
        <f>SUM(C92:C97)</f>
        <v>547</v>
      </c>
      <c r="D101" s="86">
        <f t="shared" ref="D101:N101" si="10">SUM(D92:D97)</f>
        <v>459</v>
      </c>
      <c r="E101" s="86">
        <f t="shared" si="10"/>
        <v>569</v>
      </c>
      <c r="F101" s="86">
        <f t="shared" si="10"/>
        <v>518</v>
      </c>
      <c r="G101" s="86">
        <f t="shared" si="10"/>
        <v>0</v>
      </c>
      <c r="H101" s="86">
        <f t="shared" si="10"/>
        <v>0</v>
      </c>
      <c r="I101" s="86">
        <f t="shared" si="10"/>
        <v>0</v>
      </c>
      <c r="J101" s="86">
        <f t="shared" si="10"/>
        <v>0</v>
      </c>
      <c r="K101" s="86">
        <f t="shared" si="10"/>
        <v>0</v>
      </c>
      <c r="L101" s="86">
        <f t="shared" si="10"/>
        <v>0</v>
      </c>
      <c r="M101" s="86">
        <f>SUM(M92:M97)</f>
        <v>0</v>
      </c>
      <c r="N101" s="86">
        <f t="shared" si="10"/>
        <v>0</v>
      </c>
      <c r="O101" s="80"/>
      <c r="P101" s="80"/>
    </row>
    <row r="102" spans="1:174" ht="7.5" customHeight="1">
      <c r="A102" s="129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80"/>
    </row>
    <row r="103" spans="1:174" ht="37.299999999999997">
      <c r="A103" s="81" t="s">
        <v>92</v>
      </c>
      <c r="B103" s="83" t="s">
        <v>3</v>
      </c>
      <c r="C103" s="82" t="s">
        <v>4</v>
      </c>
      <c r="D103" s="82" t="s">
        <v>5</v>
      </c>
      <c r="E103" s="82" t="s">
        <v>6</v>
      </c>
      <c r="F103" s="82" t="s">
        <v>7</v>
      </c>
      <c r="G103" s="82" t="s">
        <v>8</v>
      </c>
      <c r="H103" s="82" t="s">
        <v>9</v>
      </c>
      <c r="I103" s="82" t="s">
        <v>10</v>
      </c>
      <c r="J103" s="82" t="s">
        <v>11</v>
      </c>
      <c r="K103" s="82" t="s">
        <v>12</v>
      </c>
      <c r="L103" s="82" t="s">
        <v>13</v>
      </c>
      <c r="M103" s="82" t="s">
        <v>14</v>
      </c>
      <c r="N103" s="82" t="s">
        <v>15</v>
      </c>
      <c r="O103" s="80"/>
      <c r="P103" s="80"/>
    </row>
    <row r="104" spans="1:174" s="33" customFormat="1" ht="18.75" customHeight="1">
      <c r="A104" s="12" t="s">
        <v>85</v>
      </c>
      <c r="B104" s="212" t="s">
        <v>90</v>
      </c>
      <c r="C104" s="85">
        <v>27</v>
      </c>
      <c r="D104" s="85">
        <v>19</v>
      </c>
      <c r="E104" s="85">
        <v>32</v>
      </c>
      <c r="F104" s="85">
        <v>28</v>
      </c>
      <c r="G104" s="85"/>
      <c r="H104" s="85"/>
      <c r="I104" s="85"/>
      <c r="J104" s="85"/>
      <c r="K104" s="85"/>
      <c r="L104" s="85"/>
      <c r="M104" s="85"/>
      <c r="N104" s="85"/>
      <c r="O104" s="80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</row>
    <row r="105" spans="1:174" s="33" customFormat="1" ht="20.25" customHeight="1">
      <c r="A105" s="12" t="s">
        <v>86</v>
      </c>
      <c r="B105" s="212" t="s">
        <v>90</v>
      </c>
      <c r="C105" s="85">
        <v>159</v>
      </c>
      <c r="D105" s="85">
        <v>180</v>
      </c>
      <c r="E105" s="85">
        <v>201</v>
      </c>
      <c r="F105" s="85">
        <v>183</v>
      </c>
      <c r="G105" s="85"/>
      <c r="H105" s="85"/>
      <c r="I105" s="85"/>
      <c r="J105" s="85"/>
      <c r="K105" s="85"/>
      <c r="L105" s="85"/>
      <c r="M105" s="85"/>
      <c r="N105" s="85"/>
      <c r="O105" s="80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</row>
    <row r="106" spans="1:174" s="33" customFormat="1" ht="18" customHeight="1">
      <c r="A106" s="12" t="s">
        <v>87</v>
      </c>
      <c r="B106" s="212" t="s">
        <v>90</v>
      </c>
      <c r="C106" s="85">
        <v>0</v>
      </c>
      <c r="D106" s="85">
        <v>0</v>
      </c>
      <c r="E106" s="85">
        <v>0</v>
      </c>
      <c r="F106" s="85">
        <v>0</v>
      </c>
      <c r="G106" s="85"/>
      <c r="H106" s="85"/>
      <c r="I106" s="85"/>
      <c r="J106" s="85"/>
      <c r="K106" s="85"/>
      <c r="L106" s="85"/>
      <c r="M106" s="85"/>
      <c r="N106" s="85"/>
      <c r="O106" s="80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</row>
    <row r="107" spans="1:174" ht="20.25" customHeight="1">
      <c r="A107" s="49" t="s">
        <v>93</v>
      </c>
      <c r="B107" s="212" t="s">
        <v>90</v>
      </c>
      <c r="C107" s="85">
        <v>5861</v>
      </c>
      <c r="D107" s="85">
        <v>5311</v>
      </c>
      <c r="E107" s="85">
        <v>6424</v>
      </c>
      <c r="F107" s="85">
        <v>5870</v>
      </c>
      <c r="G107" s="85"/>
      <c r="H107" s="85"/>
      <c r="I107" s="85"/>
      <c r="J107" s="85"/>
      <c r="K107" s="85"/>
      <c r="L107" s="85"/>
      <c r="M107" s="85"/>
      <c r="N107" s="85"/>
      <c r="O107" s="80"/>
    </row>
    <row r="108" spans="1:174" ht="19.5" customHeight="1">
      <c r="A108" s="49" t="s">
        <v>88</v>
      </c>
      <c r="B108" s="212" t="s">
        <v>90</v>
      </c>
      <c r="C108" s="85">
        <v>126</v>
      </c>
      <c r="D108" s="85">
        <v>133</v>
      </c>
      <c r="E108" s="85">
        <v>145</v>
      </c>
      <c r="F108" s="85">
        <v>133</v>
      </c>
      <c r="G108" s="85"/>
      <c r="H108" s="85"/>
      <c r="I108" s="85"/>
      <c r="J108" s="85"/>
      <c r="K108" s="85"/>
      <c r="L108" s="85"/>
      <c r="M108" s="85"/>
      <c r="N108" s="85"/>
      <c r="O108" s="80"/>
    </row>
    <row r="109" spans="1:174" ht="20.25" customHeight="1">
      <c r="A109" s="49" t="s">
        <v>89</v>
      </c>
      <c r="B109" s="212" t="s">
        <v>90</v>
      </c>
      <c r="C109" s="85">
        <v>55</v>
      </c>
      <c r="D109" s="85">
        <f>36</f>
        <v>36</v>
      </c>
      <c r="E109" s="85">
        <v>93</v>
      </c>
      <c r="F109" s="85">
        <v>78</v>
      </c>
      <c r="G109" s="85"/>
      <c r="H109" s="85"/>
      <c r="I109" s="85"/>
      <c r="J109" s="85"/>
      <c r="K109" s="85"/>
      <c r="L109" s="85"/>
      <c r="M109" s="85"/>
      <c r="N109" s="85"/>
      <c r="O109" s="80"/>
    </row>
    <row r="110" spans="1:174" ht="20.25" customHeight="1">
      <c r="A110" s="12" t="s">
        <v>94</v>
      </c>
      <c r="B110" s="212" t="s">
        <v>90</v>
      </c>
      <c r="C110" s="85">
        <v>63072</v>
      </c>
      <c r="D110" s="85">
        <v>53216</v>
      </c>
      <c r="E110" s="85">
        <v>62032</v>
      </c>
      <c r="F110" s="85">
        <v>65816</v>
      </c>
      <c r="G110" s="85"/>
      <c r="H110" s="85"/>
      <c r="I110" s="85"/>
      <c r="J110" s="85"/>
      <c r="K110" s="85"/>
      <c r="L110" s="85"/>
      <c r="M110" s="85"/>
      <c r="N110" s="85"/>
      <c r="O110" s="80"/>
      <c r="P110" s="80"/>
    </row>
    <row r="111" spans="1:174" ht="18" customHeight="1">
      <c r="A111" s="12" t="s">
        <v>95</v>
      </c>
      <c r="B111" s="212" t="s">
        <v>90</v>
      </c>
      <c r="C111" s="85">
        <v>244</v>
      </c>
      <c r="D111" s="85">
        <v>199</v>
      </c>
      <c r="E111" s="85">
        <v>271</v>
      </c>
      <c r="F111" s="85">
        <v>264</v>
      </c>
      <c r="G111" s="85"/>
      <c r="H111" s="85"/>
      <c r="I111" s="85"/>
      <c r="J111" s="85"/>
      <c r="K111" s="85"/>
      <c r="L111" s="85"/>
      <c r="M111" s="85"/>
      <c r="N111" s="85"/>
      <c r="O111" s="80"/>
      <c r="P111" s="80"/>
    </row>
    <row r="112" spans="1:174" ht="21.75" customHeight="1">
      <c r="A112" s="12" t="s">
        <v>81</v>
      </c>
      <c r="B112" s="212" t="s">
        <v>90</v>
      </c>
      <c r="C112" s="85">
        <v>707</v>
      </c>
      <c r="D112" s="85">
        <v>578</v>
      </c>
      <c r="E112" s="85">
        <v>815</v>
      </c>
      <c r="F112" s="85">
        <v>863</v>
      </c>
      <c r="G112" s="85"/>
      <c r="H112" s="85"/>
      <c r="I112" s="85"/>
      <c r="J112" s="85"/>
      <c r="K112" s="85"/>
      <c r="L112" s="85"/>
      <c r="M112" s="85"/>
      <c r="N112" s="85"/>
      <c r="O112" s="80"/>
      <c r="P112" s="80"/>
    </row>
    <row r="113" spans="1:17" ht="18" customHeight="1">
      <c r="A113" s="49" t="s">
        <v>96</v>
      </c>
      <c r="B113" s="212" t="s">
        <v>90</v>
      </c>
      <c r="C113" s="85">
        <v>3941</v>
      </c>
      <c r="D113" s="85">
        <v>3680</v>
      </c>
      <c r="E113" s="85">
        <v>4486</v>
      </c>
      <c r="F113" s="85">
        <v>4290</v>
      </c>
      <c r="G113" s="85"/>
      <c r="H113" s="85"/>
      <c r="I113" s="85"/>
      <c r="J113" s="85"/>
      <c r="K113" s="85"/>
      <c r="L113" s="85"/>
      <c r="M113" s="85"/>
      <c r="N113" s="85"/>
      <c r="O113" s="80"/>
    </row>
    <row r="114" spans="1:17" ht="18.75" customHeight="1">
      <c r="A114" s="12" t="s">
        <v>97</v>
      </c>
      <c r="B114" s="212" t="s">
        <v>90</v>
      </c>
      <c r="C114" s="85">
        <v>13</v>
      </c>
      <c r="D114" s="85">
        <v>17</v>
      </c>
      <c r="E114" s="85">
        <v>20</v>
      </c>
      <c r="F114" s="85">
        <v>15</v>
      </c>
      <c r="G114" s="85"/>
      <c r="H114" s="85"/>
      <c r="I114" s="85"/>
      <c r="J114" s="85"/>
      <c r="K114" s="85"/>
      <c r="L114" s="85"/>
      <c r="M114" s="85"/>
      <c r="N114" s="85"/>
      <c r="O114" s="80"/>
      <c r="P114" s="80"/>
    </row>
    <row r="115" spans="1:17" ht="18" customHeight="1">
      <c r="A115" s="34" t="s">
        <v>91</v>
      </c>
      <c r="B115" s="212" t="s">
        <v>90</v>
      </c>
      <c r="C115" s="29">
        <f>SUM(C104:C114)</f>
        <v>74205</v>
      </c>
      <c r="D115" s="29">
        <f t="shared" ref="D115:F115" si="11">SUM(D104:D114)</f>
        <v>63369</v>
      </c>
      <c r="E115" s="29">
        <f t="shared" si="11"/>
        <v>74519</v>
      </c>
      <c r="F115" s="29">
        <f t="shared" si="11"/>
        <v>77540</v>
      </c>
      <c r="G115" s="29">
        <f t="shared" ref="G115" si="12">SUM(G104:G114)</f>
        <v>0</v>
      </c>
      <c r="H115" s="29">
        <f t="shared" ref="H115:I115" si="13">SUM(H104:H114)</f>
        <v>0</v>
      </c>
      <c r="I115" s="46">
        <f t="shared" si="13"/>
        <v>0</v>
      </c>
      <c r="J115" s="46">
        <f>SUM(J104:J114)</f>
        <v>0</v>
      </c>
      <c r="K115" s="46">
        <f>SUM(K104:K114)</f>
        <v>0</v>
      </c>
      <c r="L115" s="29">
        <f t="shared" ref="L115" si="14">SUM(L104:L114)</f>
        <v>0</v>
      </c>
      <c r="M115" s="29">
        <f>SUM(M104:M114)</f>
        <v>0</v>
      </c>
      <c r="N115" s="29">
        <f t="shared" ref="N115" si="15">SUM(N104:N114)</f>
        <v>0</v>
      </c>
      <c r="O115" s="80"/>
      <c r="P115" s="80"/>
      <c r="Q115" s="80"/>
    </row>
    <row r="116" spans="1:17" ht="9.75" customHeight="1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P116" s="80"/>
    </row>
    <row r="117" spans="1:17" ht="37.299999999999997">
      <c r="A117" s="1" t="s">
        <v>98</v>
      </c>
      <c r="B117" s="42" t="s">
        <v>3</v>
      </c>
      <c r="C117" s="41" t="s">
        <v>4</v>
      </c>
      <c r="D117" s="41" t="s">
        <v>5</v>
      </c>
      <c r="E117" s="41" t="s">
        <v>6</v>
      </c>
      <c r="F117" s="41" t="s">
        <v>7</v>
      </c>
      <c r="G117" s="41" t="s">
        <v>8</v>
      </c>
      <c r="H117" s="41" t="s">
        <v>9</v>
      </c>
      <c r="I117" s="41" t="s">
        <v>10</v>
      </c>
      <c r="J117" s="41" t="s">
        <v>11</v>
      </c>
      <c r="K117" s="41" t="s">
        <v>12</v>
      </c>
      <c r="L117" s="41" t="s">
        <v>13</v>
      </c>
      <c r="M117" s="41" t="s">
        <v>14</v>
      </c>
      <c r="N117" s="41" t="s">
        <v>15</v>
      </c>
    </row>
    <row r="118" spans="1:17" ht="17.25" customHeight="1">
      <c r="A118" s="35" t="s">
        <v>99</v>
      </c>
      <c r="B118" s="212" t="s">
        <v>90</v>
      </c>
      <c r="C118" s="11">
        <v>60</v>
      </c>
      <c r="D118" s="11">
        <v>45</v>
      </c>
      <c r="E118" s="11">
        <v>52</v>
      </c>
      <c r="F118" s="11">
        <v>66</v>
      </c>
      <c r="G118" s="11"/>
      <c r="H118" s="11"/>
      <c r="I118" s="47"/>
      <c r="J118" s="36"/>
      <c r="K118" s="36"/>
      <c r="L118" s="36"/>
      <c r="M118" s="36"/>
      <c r="N118" s="36"/>
    </row>
    <row r="119" spans="1:17" ht="18" customHeight="1">
      <c r="A119" s="37" t="s">
        <v>100</v>
      </c>
      <c r="B119" s="212" t="s">
        <v>90</v>
      </c>
      <c r="C119" s="11">
        <v>318</v>
      </c>
      <c r="D119" s="11">
        <v>288</v>
      </c>
      <c r="E119" s="11">
        <v>502</v>
      </c>
      <c r="F119" s="11">
        <v>446</v>
      </c>
      <c r="G119" s="11"/>
      <c r="H119" s="11"/>
      <c r="I119" s="47"/>
      <c r="J119" s="36"/>
      <c r="K119" s="36"/>
      <c r="L119" s="36"/>
      <c r="M119" s="36"/>
      <c r="N119" s="36"/>
      <c r="P119" s="80"/>
    </row>
    <row r="120" spans="1:17" ht="18.75" customHeight="1">
      <c r="A120" s="38" t="s">
        <v>101</v>
      </c>
      <c r="B120" s="212" t="s">
        <v>90</v>
      </c>
      <c r="C120" s="11">
        <v>1787</v>
      </c>
      <c r="D120" s="11">
        <v>1460</v>
      </c>
      <c r="E120" s="11">
        <v>1761</v>
      </c>
      <c r="F120" s="11">
        <v>1793</v>
      </c>
      <c r="G120" s="11"/>
      <c r="H120" s="11"/>
      <c r="I120" s="47"/>
      <c r="J120" s="36"/>
      <c r="K120" s="36"/>
      <c r="L120" s="36"/>
      <c r="M120" s="36"/>
      <c r="N120" s="36"/>
    </row>
    <row r="121" spans="1:17" ht="15" customHeight="1">
      <c r="A121" s="39" t="s">
        <v>102</v>
      </c>
      <c r="B121" s="212" t="s">
        <v>90</v>
      </c>
      <c r="C121" s="11">
        <v>89</v>
      </c>
      <c r="D121" s="11">
        <v>133</v>
      </c>
      <c r="E121" s="11">
        <v>204</v>
      </c>
      <c r="F121" s="11">
        <v>184</v>
      </c>
      <c r="G121" s="11"/>
      <c r="H121" s="11"/>
      <c r="I121" s="47"/>
      <c r="J121" s="36"/>
      <c r="K121" s="36"/>
      <c r="L121" s="36"/>
      <c r="M121" s="36"/>
      <c r="N121" s="36"/>
    </row>
    <row r="122" spans="1:17" ht="15.75" customHeight="1">
      <c r="A122" s="40" t="s">
        <v>103</v>
      </c>
      <c r="B122" s="212" t="s">
        <v>90</v>
      </c>
      <c r="C122" s="11">
        <v>39</v>
      </c>
      <c r="D122" s="11">
        <v>8</v>
      </c>
      <c r="E122" s="11">
        <v>7</v>
      </c>
      <c r="F122" s="11">
        <v>4</v>
      </c>
      <c r="G122" s="11"/>
      <c r="H122" s="11"/>
      <c r="I122" s="47"/>
      <c r="J122" s="36"/>
      <c r="K122" s="36"/>
      <c r="L122" s="36"/>
      <c r="M122" s="36"/>
      <c r="N122" s="36"/>
    </row>
    <row r="123" spans="1:17" ht="19.5" customHeight="1">
      <c r="A123" s="7" t="s">
        <v>104</v>
      </c>
      <c r="B123" s="212" t="s">
        <v>90</v>
      </c>
      <c r="C123" s="11">
        <v>545</v>
      </c>
      <c r="D123" s="11">
        <v>469</v>
      </c>
      <c r="E123" s="11">
        <v>274</v>
      </c>
      <c r="F123" s="11">
        <v>287</v>
      </c>
      <c r="G123" s="11"/>
      <c r="H123" s="11"/>
      <c r="I123" s="47"/>
      <c r="J123" s="36"/>
      <c r="K123" s="36"/>
      <c r="L123" s="36"/>
      <c r="M123" s="36"/>
      <c r="N123" s="36"/>
    </row>
    <row r="124" spans="1:17" ht="18.75" customHeight="1">
      <c r="A124" s="1" t="s">
        <v>91</v>
      </c>
      <c r="B124" s="212" t="s">
        <v>90</v>
      </c>
      <c r="C124" s="29">
        <f t="shared" ref="C124:D124" si="16">SUM(C118:C123)</f>
        <v>2838</v>
      </c>
      <c r="D124" s="29">
        <f t="shared" si="16"/>
        <v>2403</v>
      </c>
      <c r="E124" s="29">
        <f>SUM(E118:E123)</f>
        <v>2800</v>
      </c>
      <c r="F124" s="29">
        <f>SUM(F118:F123)</f>
        <v>2780</v>
      </c>
      <c r="G124" s="29">
        <f>SUM(G118:G123)</f>
        <v>0</v>
      </c>
      <c r="H124" s="29">
        <f>SUM(H118:H123)</f>
        <v>0</v>
      </c>
      <c r="I124" s="46">
        <f t="shared" ref="I124:J124" si="17">SUM(I118:I123)</f>
        <v>0</v>
      </c>
      <c r="J124" s="46">
        <f t="shared" si="17"/>
        <v>0</v>
      </c>
      <c r="K124" s="46">
        <f>SUM(K118:K123)</f>
        <v>0</v>
      </c>
      <c r="L124" s="46">
        <f>SUM(L118:L123)</f>
        <v>0</v>
      </c>
      <c r="M124" s="46">
        <f>SUM(M118:M123)</f>
        <v>0</v>
      </c>
      <c r="N124" s="46">
        <f>SUM(N118:N123)</f>
        <v>0</v>
      </c>
    </row>
    <row r="125" spans="1:17" ht="6.75" customHeight="1">
      <c r="A125" s="131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</row>
    <row r="126" spans="1:17" ht="37.299999999999997">
      <c r="A126" s="1" t="s">
        <v>105</v>
      </c>
      <c r="B126" s="42" t="s">
        <v>3</v>
      </c>
      <c r="C126" s="41" t="s">
        <v>4</v>
      </c>
      <c r="D126" s="41" t="s">
        <v>5</v>
      </c>
      <c r="E126" s="41" t="s">
        <v>6</v>
      </c>
      <c r="F126" s="41" t="s">
        <v>7</v>
      </c>
      <c r="G126" s="41" t="s">
        <v>8</v>
      </c>
      <c r="H126" s="41" t="s">
        <v>9</v>
      </c>
      <c r="I126" s="41" t="s">
        <v>10</v>
      </c>
      <c r="J126" s="41" t="s">
        <v>11</v>
      </c>
      <c r="K126" s="41" t="s">
        <v>12</v>
      </c>
      <c r="L126" s="41" t="s">
        <v>13</v>
      </c>
      <c r="M126" s="41" t="s">
        <v>14</v>
      </c>
      <c r="N126" s="41" t="s">
        <v>15</v>
      </c>
    </row>
    <row r="127" spans="1:17" ht="18.75" customHeight="1">
      <c r="A127" s="3" t="s">
        <v>106</v>
      </c>
      <c r="B127" s="212" t="s">
        <v>90</v>
      </c>
      <c r="C127" s="11">
        <v>503</v>
      </c>
      <c r="D127" s="11">
        <v>460</v>
      </c>
      <c r="E127" s="11">
        <v>592</v>
      </c>
      <c r="F127" s="11">
        <v>654</v>
      </c>
      <c r="G127" s="11"/>
      <c r="H127" s="11"/>
      <c r="I127" s="47"/>
      <c r="J127" s="47"/>
      <c r="K127" s="36"/>
      <c r="L127" s="36"/>
      <c r="M127" s="36"/>
      <c r="N127" s="36"/>
    </row>
    <row r="128" spans="1:17" ht="18.75" customHeight="1">
      <c r="A128" s="3" t="s">
        <v>107</v>
      </c>
      <c r="B128" s="212" t="s">
        <v>90</v>
      </c>
      <c r="C128" s="11">
        <v>2335</v>
      </c>
      <c r="D128" s="11">
        <v>1943</v>
      </c>
      <c r="E128" s="11">
        <v>2208</v>
      </c>
      <c r="F128" s="11">
        <v>2126</v>
      </c>
      <c r="G128" s="11"/>
      <c r="H128" s="11"/>
      <c r="I128" s="47"/>
      <c r="J128" s="47"/>
      <c r="K128" s="36"/>
      <c r="L128" s="36"/>
      <c r="M128" s="36"/>
      <c r="N128" s="36"/>
    </row>
    <row r="129" spans="1:17" ht="18.75" customHeight="1">
      <c r="A129" s="34" t="s">
        <v>91</v>
      </c>
      <c r="B129" s="212" t="s">
        <v>90</v>
      </c>
      <c r="C129" s="29">
        <f t="shared" ref="C129:D129" si="18">SUM(C127:C128)</f>
        <v>2838</v>
      </c>
      <c r="D129" s="29">
        <f t="shared" si="18"/>
        <v>2403</v>
      </c>
      <c r="E129" s="29">
        <f>SUM(E127:E128)</f>
        <v>2800</v>
      </c>
      <c r="F129" s="29">
        <f>SUM(F127:F128)</f>
        <v>2780</v>
      </c>
      <c r="G129" s="29">
        <f>SUM(G127:G128)</f>
        <v>0</v>
      </c>
      <c r="H129" s="29">
        <f>SUM(H127:H128)</f>
        <v>0</v>
      </c>
      <c r="I129" s="46">
        <f t="shared" ref="I129:J129" si="19">SUM(I127:I128)</f>
        <v>0</v>
      </c>
      <c r="J129" s="46">
        <f t="shared" si="19"/>
        <v>0</v>
      </c>
      <c r="K129" s="46">
        <f>SUM(K127:K128)</f>
        <v>0</v>
      </c>
      <c r="L129" s="46">
        <f>SUM(L127:L128)</f>
        <v>0</v>
      </c>
      <c r="M129" s="46">
        <f>SUM(M127:M128)</f>
        <v>0</v>
      </c>
      <c r="N129" s="46">
        <f>SUM(N127:N128)</f>
        <v>0</v>
      </c>
      <c r="O129" s="80"/>
    </row>
    <row r="130" spans="1:17" ht="6" customHeight="1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</row>
    <row r="131" spans="1:17" ht="37.299999999999997">
      <c r="A131" s="1" t="s">
        <v>108</v>
      </c>
      <c r="B131" s="42" t="s">
        <v>3</v>
      </c>
      <c r="C131" s="41" t="s">
        <v>4</v>
      </c>
      <c r="D131" s="41" t="s">
        <v>5</v>
      </c>
      <c r="E131" s="41" t="s">
        <v>6</v>
      </c>
      <c r="F131" s="41" t="s">
        <v>7</v>
      </c>
      <c r="G131" s="41" t="s">
        <v>8</v>
      </c>
      <c r="H131" s="41" t="s">
        <v>9</v>
      </c>
      <c r="I131" s="41" t="s">
        <v>10</v>
      </c>
      <c r="J131" s="41" t="s">
        <v>11</v>
      </c>
      <c r="K131" s="41" t="s">
        <v>12</v>
      </c>
      <c r="L131" s="41" t="s">
        <v>13</v>
      </c>
      <c r="M131" s="41" t="s">
        <v>14</v>
      </c>
      <c r="N131" s="41" t="s">
        <v>15</v>
      </c>
    </row>
    <row r="132" spans="1:17" ht="19.5" customHeight="1">
      <c r="A132" s="3" t="s">
        <v>109</v>
      </c>
      <c r="B132" s="212" t="s">
        <v>90</v>
      </c>
      <c r="C132" s="10">
        <v>5</v>
      </c>
      <c r="D132" s="10">
        <v>11</v>
      </c>
      <c r="E132" s="10">
        <v>2</v>
      </c>
      <c r="F132" s="10">
        <v>8</v>
      </c>
      <c r="G132" s="10"/>
      <c r="H132" s="10"/>
      <c r="I132" s="48"/>
      <c r="J132" s="49"/>
      <c r="K132" s="10"/>
      <c r="L132" s="10"/>
      <c r="M132" s="10"/>
      <c r="N132" s="10"/>
    </row>
    <row r="133" spans="1:17" ht="21" customHeight="1">
      <c r="A133" s="3" t="s">
        <v>110</v>
      </c>
      <c r="B133" s="212" t="s">
        <v>90</v>
      </c>
      <c r="C133" s="10">
        <v>849</v>
      </c>
      <c r="D133" s="10">
        <v>746</v>
      </c>
      <c r="E133" s="10">
        <v>1053</v>
      </c>
      <c r="F133" s="10">
        <v>1023</v>
      </c>
      <c r="G133" s="10"/>
      <c r="H133" s="10"/>
      <c r="I133" s="48"/>
      <c r="J133" s="10"/>
      <c r="K133" s="10"/>
      <c r="L133" s="10"/>
      <c r="M133" s="10"/>
      <c r="N133" s="10"/>
    </row>
    <row r="134" spans="1:17" ht="19.5" customHeight="1">
      <c r="A134" s="3" t="s">
        <v>47</v>
      </c>
      <c r="B134" s="212" t="s">
        <v>90</v>
      </c>
      <c r="C134" s="10">
        <v>0</v>
      </c>
      <c r="D134" s="10">
        <v>0</v>
      </c>
      <c r="E134" s="10">
        <v>0</v>
      </c>
      <c r="F134" s="10">
        <v>0</v>
      </c>
      <c r="G134" s="10"/>
      <c r="H134" s="10"/>
      <c r="I134" s="10"/>
      <c r="J134" s="10"/>
      <c r="K134" s="10"/>
      <c r="L134" s="10"/>
      <c r="M134" s="10"/>
      <c r="N134" s="10"/>
    </row>
    <row r="135" spans="1:17" ht="21" customHeight="1">
      <c r="A135" s="3" t="s">
        <v>17</v>
      </c>
      <c r="B135" s="212" t="s">
        <v>90</v>
      </c>
      <c r="C135" s="10">
        <f>476+3+1+1+1115</f>
        <v>1596</v>
      </c>
      <c r="D135" s="10">
        <f>4+1052+1+3+1+1</f>
        <v>1062</v>
      </c>
      <c r="E135" s="10">
        <v>1003</v>
      </c>
      <c r="F135" s="10">
        <v>1018</v>
      </c>
      <c r="G135" s="10"/>
      <c r="H135" s="10"/>
      <c r="I135" s="48"/>
      <c r="J135" s="10"/>
      <c r="K135" s="10"/>
      <c r="L135" s="10"/>
      <c r="M135" s="10"/>
      <c r="N135" s="10"/>
    </row>
    <row r="136" spans="1:17" ht="21" customHeight="1">
      <c r="A136" s="3" t="s">
        <v>111</v>
      </c>
      <c r="B136" s="212" t="s">
        <v>90</v>
      </c>
      <c r="C136" s="10">
        <f>334+1</f>
        <v>335</v>
      </c>
      <c r="D136" s="10">
        <v>320</v>
      </c>
      <c r="E136" s="10">
        <v>417</v>
      </c>
      <c r="F136" s="10">
        <v>368</v>
      </c>
      <c r="G136" s="10"/>
      <c r="H136" s="10"/>
      <c r="I136" s="48"/>
      <c r="J136" s="10"/>
      <c r="K136" s="10"/>
      <c r="L136" s="10"/>
      <c r="M136" s="10"/>
      <c r="N136" s="10"/>
    </row>
    <row r="137" spans="1:17" ht="21" customHeight="1">
      <c r="A137" s="3" t="s">
        <v>30</v>
      </c>
      <c r="B137" s="212" t="s">
        <v>90</v>
      </c>
      <c r="C137" s="10">
        <v>11</v>
      </c>
      <c r="D137" s="10">
        <v>95</v>
      </c>
      <c r="E137" s="10">
        <v>29</v>
      </c>
      <c r="F137" s="10">
        <v>43</v>
      </c>
      <c r="G137" s="10"/>
      <c r="H137" s="10"/>
      <c r="I137" s="48"/>
      <c r="J137" s="10"/>
      <c r="K137" s="10"/>
      <c r="L137" s="10"/>
      <c r="M137" s="10"/>
      <c r="N137" s="10"/>
    </row>
    <row r="138" spans="1:17" ht="21" customHeight="1">
      <c r="A138" s="3" t="s">
        <v>53</v>
      </c>
      <c r="B138" s="212" t="s">
        <v>90</v>
      </c>
      <c r="C138" s="10">
        <v>6</v>
      </c>
      <c r="D138" s="10">
        <v>10</v>
      </c>
      <c r="E138" s="10">
        <v>17</v>
      </c>
      <c r="F138" s="10">
        <v>14</v>
      </c>
      <c r="G138" s="10"/>
      <c r="H138" s="10"/>
      <c r="I138" s="48"/>
      <c r="J138" s="10"/>
      <c r="K138" s="10"/>
      <c r="L138" s="10"/>
      <c r="M138" s="10"/>
      <c r="N138" s="10"/>
    </row>
    <row r="139" spans="1:17" ht="21" customHeight="1">
      <c r="A139" s="3" t="s">
        <v>112</v>
      </c>
      <c r="B139" s="212" t="s">
        <v>90</v>
      </c>
      <c r="C139" s="10">
        <v>30</v>
      </c>
      <c r="D139" s="10">
        <v>135</v>
      </c>
      <c r="E139" s="10">
        <v>271</v>
      </c>
      <c r="F139" s="10">
        <v>296</v>
      </c>
      <c r="G139" s="10"/>
      <c r="H139" s="10"/>
      <c r="I139" s="48"/>
      <c r="J139" s="10"/>
      <c r="K139" s="10"/>
      <c r="L139" s="10"/>
      <c r="M139" s="10"/>
      <c r="N139" s="10"/>
      <c r="Q139" s="124"/>
    </row>
    <row r="140" spans="1:17" ht="21" customHeight="1">
      <c r="A140" s="3" t="s">
        <v>113</v>
      </c>
      <c r="B140" s="212" t="s">
        <v>90</v>
      </c>
      <c r="C140" s="10">
        <v>6</v>
      </c>
      <c r="D140" s="10">
        <v>24</v>
      </c>
      <c r="E140" s="10">
        <v>8</v>
      </c>
      <c r="F140" s="10">
        <v>10</v>
      </c>
      <c r="G140" s="10"/>
      <c r="H140" s="10"/>
      <c r="I140" s="48"/>
      <c r="J140" s="10"/>
      <c r="K140" s="10"/>
      <c r="L140" s="10"/>
      <c r="M140" s="10"/>
      <c r="N140" s="10"/>
    </row>
    <row r="141" spans="1:17" ht="20.25" customHeight="1">
      <c r="A141" s="5" t="s">
        <v>91</v>
      </c>
      <c r="B141" s="212" t="s">
        <v>90</v>
      </c>
      <c r="C141" s="29">
        <f>SUM(C132:C140)</f>
        <v>2838</v>
      </c>
      <c r="D141" s="29">
        <f t="shared" ref="D141:M141" si="20">SUM(D132:D140)</f>
        <v>2403</v>
      </c>
      <c r="E141" s="29">
        <f t="shared" si="20"/>
        <v>2800</v>
      </c>
      <c r="F141" s="29">
        <f t="shared" si="20"/>
        <v>2780</v>
      </c>
      <c r="G141" s="25">
        <f t="shared" si="20"/>
        <v>0</v>
      </c>
      <c r="H141" s="29">
        <f t="shared" si="20"/>
        <v>0</v>
      </c>
      <c r="I141" s="50">
        <f>SUM(I132:I140)</f>
        <v>0</v>
      </c>
      <c r="J141" s="46">
        <f>SUM(J132:J140)</f>
        <v>0</v>
      </c>
      <c r="K141" s="46">
        <f>SUM(K132:K140)</f>
        <v>0</v>
      </c>
      <c r="L141" s="29">
        <f t="shared" si="20"/>
        <v>0</v>
      </c>
      <c r="M141" s="29">
        <f t="shared" si="20"/>
        <v>0</v>
      </c>
      <c r="N141" s="29">
        <f>SUM(N132:N140)</f>
        <v>0</v>
      </c>
    </row>
    <row r="142" spans="1:17" ht="9.75" customHeight="1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spans="1:17" ht="37.299999999999997">
      <c r="A143" s="4" t="s">
        <v>114</v>
      </c>
      <c r="B143" s="42" t="s">
        <v>3</v>
      </c>
      <c r="C143" s="41" t="s">
        <v>4</v>
      </c>
      <c r="D143" s="41" t="s">
        <v>5</v>
      </c>
      <c r="E143" s="41" t="s">
        <v>6</v>
      </c>
      <c r="F143" s="41" t="s">
        <v>7</v>
      </c>
      <c r="G143" s="41" t="s">
        <v>8</v>
      </c>
      <c r="H143" s="41" t="s">
        <v>9</v>
      </c>
      <c r="I143" s="41" t="s">
        <v>10</v>
      </c>
      <c r="J143" s="41" t="s">
        <v>11</v>
      </c>
      <c r="K143" s="41" t="s">
        <v>12</v>
      </c>
      <c r="L143" s="41" t="s">
        <v>13</v>
      </c>
      <c r="M143" s="41" t="s">
        <v>14</v>
      </c>
      <c r="N143" s="41" t="s">
        <v>15</v>
      </c>
    </row>
    <row r="144" spans="1:17" ht="20.25" customHeight="1">
      <c r="A144" s="5" t="s">
        <v>115</v>
      </c>
      <c r="B144" s="212" t="s">
        <v>90</v>
      </c>
      <c r="C144" s="173">
        <v>418</v>
      </c>
      <c r="D144" s="173">
        <v>327</v>
      </c>
      <c r="E144" s="173">
        <v>453</v>
      </c>
      <c r="F144" s="326">
        <v>425</v>
      </c>
      <c r="G144" s="174"/>
      <c r="H144" s="173"/>
      <c r="I144" s="175"/>
      <c r="J144" s="176"/>
      <c r="K144" s="46"/>
      <c r="L144" s="29"/>
      <c r="M144" s="29"/>
      <c r="N144" s="29"/>
    </row>
    <row r="145" spans="1:174" ht="14.6">
      <c r="A145" s="167"/>
      <c r="B145" s="134"/>
      <c r="C145" s="134"/>
      <c r="D145" s="134"/>
      <c r="E145" s="134"/>
      <c r="F145" s="134"/>
      <c r="G145" s="134"/>
      <c r="H145" s="134"/>
      <c r="I145" s="134"/>
      <c r="J145" s="134"/>
      <c r="K145" s="169"/>
      <c r="L145" s="113"/>
      <c r="M145" s="113"/>
      <c r="N145" s="113"/>
    </row>
    <row r="146" spans="1:174" s="14" customFormat="1">
      <c r="A146" s="168"/>
      <c r="B146" s="171"/>
      <c r="C146" s="171"/>
      <c r="D146" s="171"/>
      <c r="E146" s="171" t="s">
        <v>116</v>
      </c>
      <c r="F146" s="171"/>
      <c r="G146" s="171"/>
      <c r="I146" s="172"/>
      <c r="J146" s="114"/>
      <c r="K146" s="170"/>
      <c r="L146" s="114"/>
      <c r="M146" s="114"/>
      <c r="N146" s="114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</row>
    <row r="147" spans="1:174">
      <c r="A147" s="167"/>
      <c r="B147" s="114"/>
      <c r="C147" s="114"/>
      <c r="D147" s="114"/>
      <c r="E147" s="114"/>
      <c r="F147" s="114"/>
      <c r="G147" s="114"/>
      <c r="H147" s="114"/>
      <c r="I147" s="114"/>
      <c r="J147" s="113"/>
      <c r="K147" s="169"/>
      <c r="L147" s="113"/>
      <c r="M147" s="113"/>
      <c r="N147" s="113"/>
    </row>
    <row r="148" spans="1:174">
      <c r="A148" s="167"/>
      <c r="B148" s="114"/>
      <c r="C148" s="114"/>
      <c r="D148" s="114"/>
      <c r="E148" s="114"/>
      <c r="F148" s="114"/>
      <c r="G148" s="114"/>
      <c r="H148" s="114"/>
      <c r="I148" s="114"/>
      <c r="J148" s="113"/>
      <c r="K148" s="169"/>
      <c r="L148" s="113"/>
      <c r="M148" s="113"/>
      <c r="N148" s="113"/>
    </row>
    <row r="149" spans="1:174">
      <c r="A149" s="167"/>
      <c r="B149" s="114"/>
      <c r="C149" s="114"/>
      <c r="D149" s="114"/>
      <c r="E149" s="114"/>
      <c r="F149" s="114"/>
      <c r="G149" s="114"/>
      <c r="H149" s="114"/>
      <c r="I149" s="114"/>
      <c r="J149" s="113"/>
      <c r="K149" s="169"/>
      <c r="L149" s="113"/>
      <c r="M149" s="113"/>
      <c r="N149" s="113"/>
    </row>
    <row r="150" spans="1:174">
      <c r="A150" s="167"/>
      <c r="B150" s="114"/>
      <c r="C150" s="114"/>
      <c r="D150" s="114"/>
      <c r="E150" s="114"/>
      <c r="F150" s="114"/>
      <c r="G150" s="114"/>
      <c r="H150" s="114"/>
      <c r="I150" s="114"/>
      <c r="J150" s="113"/>
      <c r="K150" s="169"/>
      <c r="L150" s="115"/>
      <c r="M150" s="113"/>
      <c r="N150" s="113"/>
    </row>
    <row r="151" spans="1:174" ht="15" customHeight="1">
      <c r="A151" s="167"/>
      <c r="B151" s="177"/>
      <c r="C151" s="177"/>
      <c r="D151" s="177"/>
      <c r="E151" s="177"/>
      <c r="F151" s="177"/>
      <c r="G151" s="177"/>
      <c r="H151" s="177"/>
      <c r="I151" s="177"/>
      <c r="J151" s="113"/>
      <c r="K151" s="169"/>
      <c r="L151" s="113"/>
      <c r="M151" s="113"/>
      <c r="N151" s="113"/>
    </row>
    <row r="152" spans="1:174" ht="15" customHeight="1">
      <c r="A152" s="167"/>
      <c r="B152" s="246" t="s">
        <v>117</v>
      </c>
      <c r="C152" s="246"/>
      <c r="D152" s="246"/>
      <c r="E152" s="246"/>
      <c r="F152" s="246"/>
      <c r="G152" s="246"/>
      <c r="H152" s="246"/>
      <c r="I152" s="246"/>
      <c r="J152" s="113"/>
      <c r="K152" s="169"/>
      <c r="L152" s="113"/>
      <c r="M152" s="113"/>
      <c r="N152" s="113"/>
    </row>
    <row r="153" spans="1:174" ht="15" customHeight="1">
      <c r="A153" s="167"/>
      <c r="B153" s="245" t="s">
        <v>118</v>
      </c>
      <c r="C153" s="245"/>
      <c r="D153" s="245"/>
      <c r="E153" s="245"/>
      <c r="F153" s="245"/>
      <c r="G153" s="245"/>
      <c r="H153" s="245"/>
      <c r="I153" s="245"/>
      <c r="J153" s="113"/>
      <c r="K153" s="169"/>
      <c r="L153" s="113"/>
      <c r="M153" s="113"/>
      <c r="N153" s="113"/>
    </row>
    <row r="154" spans="1:174">
      <c r="A154" s="167"/>
      <c r="B154" s="245" t="s">
        <v>119</v>
      </c>
      <c r="C154" s="245"/>
      <c r="D154" s="245"/>
      <c r="E154" s="245"/>
      <c r="F154" s="245"/>
      <c r="G154" s="245"/>
      <c r="H154" s="245"/>
      <c r="I154" s="245"/>
      <c r="J154" s="113"/>
      <c r="K154" s="169"/>
      <c r="L154" s="113"/>
      <c r="M154" s="113"/>
      <c r="N154" s="113"/>
    </row>
    <row r="155" spans="1:174" ht="14.6">
      <c r="A155" s="113"/>
      <c r="B155" s="134"/>
      <c r="C155" s="134"/>
      <c r="D155" s="134"/>
      <c r="E155" s="134"/>
      <c r="F155" s="134"/>
      <c r="G155" s="134"/>
      <c r="H155" s="134"/>
      <c r="I155" s="134"/>
      <c r="J155" s="134"/>
      <c r="K155" s="113"/>
      <c r="L155" s="113"/>
      <c r="M155" s="113"/>
      <c r="N155" s="113"/>
    </row>
  </sheetData>
  <mergeCells count="8">
    <mergeCell ref="B1:N1"/>
    <mergeCell ref="B154:I154"/>
    <mergeCell ref="B152:I152"/>
    <mergeCell ref="B153:I153"/>
    <mergeCell ref="A2:N2"/>
    <mergeCell ref="A3:N3"/>
    <mergeCell ref="B42:B62"/>
    <mergeCell ref="B66:B74"/>
  </mergeCells>
  <pageMargins left="0.511811024" right="0.511811024" top="0.78740157499999996" bottom="0.78740157499999996" header="0.31496062000000002" footer="0.31496062000000002"/>
  <pageSetup paperSize="9"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70"/>
  <sheetViews>
    <sheetView topLeftCell="A155" zoomScale="50" zoomScaleNormal="50" workbookViewId="0">
      <pane xSplit="1" topLeftCell="B1" activePane="topRight" state="frozen"/>
      <selection pane="topRight" sqref="A1:Y171"/>
    </sheetView>
  </sheetViews>
  <sheetFormatPr defaultColWidth="9.15234375" defaultRowHeight="14.15"/>
  <cols>
    <col min="1" max="1" width="50.3828125" style="53" customWidth="1"/>
    <col min="2" max="2" width="8.69140625" style="53" customWidth="1"/>
    <col min="3" max="3" width="9.84375" style="53" customWidth="1"/>
    <col min="4" max="4" width="8.69140625" style="53" customWidth="1"/>
    <col min="5" max="5" width="9.84375" style="53" customWidth="1"/>
    <col min="6" max="6" width="8.69140625" style="53" customWidth="1"/>
    <col min="7" max="7" width="9.84375" style="53" customWidth="1"/>
    <col min="8" max="8" width="8.69140625" style="53" customWidth="1"/>
    <col min="9" max="9" width="9.84375" style="53" customWidth="1"/>
    <col min="10" max="10" width="8.69140625" style="53" customWidth="1"/>
    <col min="11" max="11" width="10.3046875" style="53" customWidth="1"/>
    <col min="12" max="12" width="8.69140625" style="53" customWidth="1"/>
    <col min="13" max="13" width="9.69140625" style="53" customWidth="1"/>
    <col min="14" max="14" width="8.69140625" style="53" customWidth="1"/>
    <col min="15" max="15" width="10.15234375" style="53" customWidth="1"/>
    <col min="16" max="16" width="8.69140625" style="53" customWidth="1"/>
    <col min="17" max="17" width="10.15234375" style="53" customWidth="1"/>
    <col min="18" max="18" width="8.69140625" style="53" customWidth="1"/>
    <col min="19" max="19" width="10.15234375" style="53" customWidth="1"/>
    <col min="20" max="20" width="8.69140625" style="53" customWidth="1"/>
    <col min="21" max="21" width="9.84375" style="53" customWidth="1"/>
    <col min="22" max="22" width="8.69140625" style="53" customWidth="1"/>
    <col min="23" max="23" width="10.3828125" style="53" customWidth="1"/>
    <col min="24" max="24" width="8.69140625" style="53" customWidth="1"/>
    <col min="25" max="25" width="9.69140625" style="53" customWidth="1"/>
    <col min="26" max="16384" width="9.15234375" style="53"/>
  </cols>
  <sheetData>
    <row r="1" spans="1:25" ht="84" customHeight="1">
      <c r="A1" s="301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</row>
    <row r="2" spans="1:25" ht="18.75" customHeight="1">
      <c r="A2" s="300" t="s">
        <v>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</row>
    <row r="3" spans="1:25" ht="21" customHeight="1">
      <c r="A3" s="299" t="s">
        <v>120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</row>
    <row r="4" spans="1: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</row>
    <row r="5" spans="1:25" ht="18.75" customHeight="1">
      <c r="A5" s="272" t="s">
        <v>121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</row>
    <row r="6" spans="1:25" ht="24" customHeight="1">
      <c r="A6" s="76" t="s">
        <v>122</v>
      </c>
      <c r="B6" s="262" t="s">
        <v>4</v>
      </c>
      <c r="C6" s="262"/>
      <c r="D6" s="262" t="s">
        <v>5</v>
      </c>
      <c r="E6" s="262"/>
      <c r="F6" s="262" t="s">
        <v>6</v>
      </c>
      <c r="G6" s="262"/>
      <c r="H6" s="262" t="s">
        <v>7</v>
      </c>
      <c r="I6" s="262"/>
      <c r="J6" s="262" t="s">
        <v>8</v>
      </c>
      <c r="K6" s="262"/>
      <c r="L6" s="262" t="s">
        <v>9</v>
      </c>
      <c r="M6" s="262"/>
      <c r="N6" s="262" t="s">
        <v>10</v>
      </c>
      <c r="O6" s="262"/>
      <c r="P6" s="262" t="s">
        <v>11</v>
      </c>
      <c r="Q6" s="262"/>
      <c r="R6" s="262" t="s">
        <v>12</v>
      </c>
      <c r="S6" s="262"/>
      <c r="T6" s="262" t="s">
        <v>13</v>
      </c>
      <c r="U6" s="262"/>
      <c r="V6" s="262" t="s">
        <v>14</v>
      </c>
      <c r="W6" s="262"/>
      <c r="X6" s="262" t="s">
        <v>15</v>
      </c>
      <c r="Y6" s="262"/>
    </row>
    <row r="7" spans="1:25" ht="15.65" customHeight="1">
      <c r="A7" s="64" t="s">
        <v>123</v>
      </c>
      <c r="B7" s="297">
        <v>0.95699999999999996</v>
      </c>
      <c r="C7" s="297"/>
      <c r="D7" s="297">
        <v>0.98050000000000004</v>
      </c>
      <c r="E7" s="297"/>
      <c r="F7" s="297">
        <v>0.97699999999999998</v>
      </c>
      <c r="G7" s="297"/>
      <c r="H7" s="297">
        <v>0.98529999999999995</v>
      </c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</row>
    <row r="8" spans="1:25" ht="15.65" customHeight="1">
      <c r="A8" s="64" t="s">
        <v>124</v>
      </c>
      <c r="B8" s="297">
        <v>0.97160000000000002</v>
      </c>
      <c r="C8" s="297"/>
      <c r="D8" s="297">
        <v>0.97699999999999998</v>
      </c>
      <c r="E8" s="297"/>
      <c r="F8" s="297">
        <v>0.96970000000000001</v>
      </c>
      <c r="G8" s="297"/>
      <c r="H8" s="297">
        <v>0.95079999999999998</v>
      </c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</row>
    <row r="9" spans="1:25" ht="15.65" customHeight="1">
      <c r="A9" s="64" t="s">
        <v>125</v>
      </c>
      <c r="B9" s="297">
        <v>0.94199999999999995</v>
      </c>
      <c r="C9" s="297"/>
      <c r="D9" s="297">
        <v>0.97850000000000004</v>
      </c>
      <c r="E9" s="297"/>
      <c r="F9" s="297">
        <v>0.91839999999999999</v>
      </c>
      <c r="G9" s="297"/>
      <c r="H9" s="297">
        <v>0.94230000000000003</v>
      </c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</row>
    <row r="10" spans="1:25" ht="15.65" customHeight="1">
      <c r="A10" s="64" t="s">
        <v>126</v>
      </c>
      <c r="B10" s="297">
        <v>1</v>
      </c>
      <c r="C10" s="297"/>
      <c r="D10" s="306">
        <v>1</v>
      </c>
      <c r="E10" s="307"/>
      <c r="F10" s="297">
        <v>1</v>
      </c>
      <c r="G10" s="297"/>
      <c r="H10" s="297">
        <v>1</v>
      </c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</row>
    <row r="11" spans="1:25" ht="15.65" customHeight="1">
      <c r="A11" s="64" t="s">
        <v>127</v>
      </c>
      <c r="B11" s="297">
        <v>1</v>
      </c>
      <c r="C11" s="297"/>
      <c r="D11" s="306">
        <v>1</v>
      </c>
      <c r="E11" s="307"/>
      <c r="F11" s="297">
        <v>1</v>
      </c>
      <c r="G11" s="297"/>
      <c r="H11" s="297">
        <v>1</v>
      </c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</row>
    <row r="12" spans="1:25" ht="15.65" customHeight="1">
      <c r="A12" s="64" t="s">
        <v>128</v>
      </c>
      <c r="B12" s="297">
        <v>0.82250000000000001</v>
      </c>
      <c r="C12" s="297"/>
      <c r="D12" s="297">
        <v>0.81840000000000002</v>
      </c>
      <c r="E12" s="297"/>
      <c r="F12" s="297">
        <v>0.83379999999999999</v>
      </c>
      <c r="G12" s="297"/>
      <c r="H12" s="297">
        <v>0.85099999999999998</v>
      </c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</row>
    <row r="13" spans="1:25" ht="15.65" customHeight="1">
      <c r="A13" s="64" t="s">
        <v>129</v>
      </c>
      <c r="B13" s="297">
        <v>0.9758</v>
      </c>
      <c r="C13" s="297"/>
      <c r="D13" s="297">
        <v>0.97670000000000001</v>
      </c>
      <c r="E13" s="297"/>
      <c r="F13" s="297">
        <v>0.9758</v>
      </c>
      <c r="G13" s="297"/>
      <c r="H13" s="297">
        <v>0.97499999999999998</v>
      </c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</row>
    <row r="14" spans="1:25" ht="15.65" customHeight="1">
      <c r="A14" s="64" t="s">
        <v>130</v>
      </c>
      <c r="B14" s="297">
        <v>0.89370000000000005</v>
      </c>
      <c r="C14" s="297"/>
      <c r="D14" s="297">
        <v>0.92220000000000002</v>
      </c>
      <c r="E14" s="297"/>
      <c r="F14" s="297">
        <v>0.92349999999999999</v>
      </c>
      <c r="G14" s="297"/>
      <c r="H14" s="297">
        <v>0.90780000000000005</v>
      </c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</row>
    <row r="15" spans="1:25" ht="15.65" customHeight="1">
      <c r="A15" s="64" t="s">
        <v>131</v>
      </c>
      <c r="B15" s="297">
        <v>0.98370000000000002</v>
      </c>
      <c r="C15" s="297"/>
      <c r="D15" s="297">
        <v>0.97319999999999995</v>
      </c>
      <c r="E15" s="297"/>
      <c r="F15" s="297">
        <v>0.9708</v>
      </c>
      <c r="G15" s="297"/>
      <c r="H15" s="297">
        <v>0.98329999999999995</v>
      </c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</row>
    <row r="16" spans="1:25" ht="17.25" customHeight="1">
      <c r="A16" s="64" t="s">
        <v>132</v>
      </c>
      <c r="B16" s="297">
        <v>0.59860000000000002</v>
      </c>
      <c r="C16" s="297"/>
      <c r="D16" s="297">
        <v>0.4345</v>
      </c>
      <c r="E16" s="297"/>
      <c r="F16" s="297">
        <v>0.4032</v>
      </c>
      <c r="G16" s="297"/>
      <c r="H16" s="297">
        <v>0.5</v>
      </c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</row>
    <row r="17" spans="1:25" ht="15.65" customHeight="1">
      <c r="A17" s="65" t="s">
        <v>133</v>
      </c>
      <c r="B17" s="298">
        <v>1.1507000000000001</v>
      </c>
      <c r="C17" s="298"/>
      <c r="D17" s="298">
        <f>'Indicadores de Desempenho'!E5</f>
        <v>1.2036061351129845</v>
      </c>
      <c r="E17" s="298"/>
      <c r="F17" s="298">
        <v>1.2159</v>
      </c>
      <c r="G17" s="298"/>
      <c r="H17" s="298">
        <v>1.1826000000000001</v>
      </c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</row>
    <row r="18" spans="1:25" ht="6" customHeight="1">
      <c r="A18" s="263"/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</row>
    <row r="19" spans="1:25" ht="15.45">
      <c r="A19" s="272" t="s">
        <v>134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</row>
    <row r="20" spans="1:25" ht="15.45">
      <c r="A20" s="76" t="s">
        <v>122</v>
      </c>
      <c r="B20" s="262" t="s">
        <v>4</v>
      </c>
      <c r="C20" s="262"/>
      <c r="D20" s="262" t="s">
        <v>5</v>
      </c>
      <c r="E20" s="262"/>
      <c r="F20" s="262" t="s">
        <v>6</v>
      </c>
      <c r="G20" s="262"/>
      <c r="H20" s="262" t="s">
        <v>7</v>
      </c>
      <c r="I20" s="262"/>
      <c r="J20" s="262" t="s">
        <v>8</v>
      </c>
      <c r="K20" s="262"/>
      <c r="L20" s="262" t="s">
        <v>9</v>
      </c>
      <c r="M20" s="262"/>
      <c r="N20" s="262" t="s">
        <v>10</v>
      </c>
      <c r="O20" s="262"/>
      <c r="P20" s="262" t="s">
        <v>11</v>
      </c>
      <c r="Q20" s="262"/>
      <c r="R20" s="262" t="s">
        <v>12</v>
      </c>
      <c r="S20" s="262"/>
      <c r="T20" s="262" t="s">
        <v>13</v>
      </c>
      <c r="U20" s="262"/>
      <c r="V20" s="262" t="s">
        <v>14</v>
      </c>
      <c r="W20" s="262"/>
      <c r="X20" s="262" t="s">
        <v>15</v>
      </c>
      <c r="Y20" s="262"/>
    </row>
    <row r="21" spans="1:25" ht="15.65" customHeight="1">
      <c r="A21" s="66" t="s">
        <v>123</v>
      </c>
      <c r="B21" s="269">
        <v>6.29</v>
      </c>
      <c r="C21" s="269"/>
      <c r="D21" s="269">
        <v>7.63</v>
      </c>
      <c r="E21" s="269"/>
      <c r="F21" s="269">
        <v>8.49</v>
      </c>
      <c r="G21" s="269"/>
      <c r="H21" s="269">
        <v>9.43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</row>
    <row r="22" spans="1:25" ht="15.65" customHeight="1">
      <c r="A22" s="66" t="s">
        <v>124</v>
      </c>
      <c r="B22" s="269">
        <v>7.87</v>
      </c>
      <c r="C22" s="269"/>
      <c r="D22" s="269">
        <v>9.08</v>
      </c>
      <c r="E22" s="269"/>
      <c r="F22" s="269">
        <v>8.94</v>
      </c>
      <c r="G22" s="269"/>
      <c r="H22" s="269">
        <v>7.21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</row>
    <row r="23" spans="1:25" ht="15.65" customHeight="1">
      <c r="A23" s="66" t="s">
        <v>125</v>
      </c>
      <c r="B23" s="269">
        <v>7.68</v>
      </c>
      <c r="C23" s="269"/>
      <c r="D23" s="269">
        <v>9.15</v>
      </c>
      <c r="E23" s="269"/>
      <c r="F23" s="269">
        <v>7.02</v>
      </c>
      <c r="G23" s="269"/>
      <c r="H23" s="269">
        <v>8.02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</row>
    <row r="24" spans="1:25" ht="15.65" customHeight="1">
      <c r="A24" s="66" t="s">
        <v>126</v>
      </c>
      <c r="B24" s="269">
        <v>9.23</v>
      </c>
      <c r="C24" s="269"/>
      <c r="D24" s="269">
        <v>9.11</v>
      </c>
      <c r="E24" s="269"/>
      <c r="F24" s="269">
        <v>8.07</v>
      </c>
      <c r="G24" s="269"/>
      <c r="H24" s="269">
        <v>6.73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</row>
    <row r="25" spans="1:25" ht="15.65" customHeight="1">
      <c r="A25" s="66" t="s">
        <v>127</v>
      </c>
      <c r="B25" s="269">
        <v>7.22</v>
      </c>
      <c r="C25" s="269"/>
      <c r="D25" s="269">
        <v>6.77</v>
      </c>
      <c r="E25" s="269"/>
      <c r="F25" s="269">
        <v>5.92</v>
      </c>
      <c r="G25" s="269"/>
      <c r="H25" s="269">
        <v>7.85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</row>
    <row r="26" spans="1:25" ht="15.65" customHeight="1">
      <c r="A26" s="66" t="s">
        <v>128</v>
      </c>
      <c r="B26" s="269">
        <v>10.199999999999999</v>
      </c>
      <c r="C26" s="269"/>
      <c r="D26" s="269">
        <v>9.82</v>
      </c>
      <c r="E26" s="269"/>
      <c r="F26" s="269">
        <v>8.85</v>
      </c>
      <c r="G26" s="269"/>
      <c r="H26" s="269">
        <v>10.6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</row>
    <row r="27" spans="1:25" ht="15.65" customHeight="1">
      <c r="A27" s="66" t="s">
        <v>129</v>
      </c>
      <c r="B27" s="269">
        <v>9.3000000000000007</v>
      </c>
      <c r="C27" s="269"/>
      <c r="D27" s="269">
        <v>8.2799999999999994</v>
      </c>
      <c r="E27" s="269"/>
      <c r="F27" s="269">
        <v>8.18</v>
      </c>
      <c r="G27" s="269"/>
      <c r="H27" s="269">
        <v>8.01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</row>
    <row r="28" spans="1:25" ht="15.65" customHeight="1">
      <c r="A28" s="66" t="s">
        <v>130</v>
      </c>
      <c r="B28" s="269">
        <v>6.82</v>
      </c>
      <c r="C28" s="269"/>
      <c r="D28" s="269">
        <v>9.75</v>
      </c>
      <c r="E28" s="269"/>
      <c r="F28" s="269">
        <v>11.78</v>
      </c>
      <c r="G28" s="269"/>
      <c r="H28" s="269">
        <v>10.07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</row>
    <row r="29" spans="1:25" ht="15.65" customHeight="1">
      <c r="A29" s="66" t="s">
        <v>131</v>
      </c>
      <c r="B29" s="269">
        <v>6.91</v>
      </c>
      <c r="C29" s="269"/>
      <c r="D29" s="269">
        <v>7.78</v>
      </c>
      <c r="E29" s="269"/>
      <c r="F29" s="269">
        <v>11.1</v>
      </c>
      <c r="G29" s="269"/>
      <c r="H29" s="269">
        <v>7.37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</row>
    <row r="30" spans="1:25" ht="15.65" customHeight="1">
      <c r="A30" s="66" t="s">
        <v>132</v>
      </c>
      <c r="B30" s="269">
        <v>8</v>
      </c>
      <c r="C30" s="269"/>
      <c r="D30" s="269">
        <v>12.16</v>
      </c>
      <c r="E30" s="269"/>
      <c r="F30" s="269">
        <v>4.17</v>
      </c>
      <c r="G30" s="269"/>
      <c r="H30" s="269">
        <v>9.25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</row>
    <row r="31" spans="1:25" ht="15.65" customHeight="1">
      <c r="A31" s="67" t="s">
        <v>135</v>
      </c>
      <c r="B31" s="276">
        <v>8.5299999999999994</v>
      </c>
      <c r="C31" s="276"/>
      <c r="D31" s="276">
        <v>9.2100000000000009</v>
      </c>
      <c r="E31" s="276"/>
      <c r="F31" s="276">
        <v>8.52</v>
      </c>
      <c r="G31" s="276"/>
      <c r="H31" s="276">
        <v>8.6</v>
      </c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6"/>
      <c r="W31" s="276"/>
      <c r="X31" s="276"/>
      <c r="Y31" s="276"/>
    </row>
    <row r="32" spans="1:25">
      <c r="A32" s="264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6"/>
    </row>
    <row r="33" spans="1:25" ht="15.45">
      <c r="A33" s="277" t="s">
        <v>136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</row>
    <row r="34" spans="1:25" ht="15.45">
      <c r="A34" s="76" t="s">
        <v>122</v>
      </c>
      <c r="B34" s="262" t="s">
        <v>4</v>
      </c>
      <c r="C34" s="262"/>
      <c r="D34" s="262" t="s">
        <v>5</v>
      </c>
      <c r="E34" s="262"/>
      <c r="F34" s="262" t="s">
        <v>6</v>
      </c>
      <c r="G34" s="262"/>
      <c r="H34" s="262" t="s">
        <v>7</v>
      </c>
      <c r="I34" s="262"/>
      <c r="J34" s="262" t="s">
        <v>8</v>
      </c>
      <c r="K34" s="262"/>
      <c r="L34" s="262" t="s">
        <v>9</v>
      </c>
      <c r="M34" s="262"/>
      <c r="N34" s="262" t="s">
        <v>10</v>
      </c>
      <c r="O34" s="262"/>
      <c r="P34" s="262" t="s">
        <v>11</v>
      </c>
      <c r="Q34" s="262"/>
      <c r="R34" s="262" t="s">
        <v>12</v>
      </c>
      <c r="S34" s="262"/>
      <c r="T34" s="262" t="s">
        <v>13</v>
      </c>
      <c r="U34" s="262"/>
      <c r="V34" s="262" t="s">
        <v>14</v>
      </c>
      <c r="W34" s="262"/>
      <c r="X34" s="262" t="s">
        <v>15</v>
      </c>
      <c r="Y34" s="262"/>
    </row>
    <row r="35" spans="1:25" ht="15.65" customHeight="1">
      <c r="A35" s="64" t="s">
        <v>123</v>
      </c>
      <c r="B35" s="269">
        <v>0.28000000000000003</v>
      </c>
      <c r="C35" s="269"/>
      <c r="D35" s="269">
        <v>0.15</v>
      </c>
      <c r="E35" s="269"/>
      <c r="F35" s="292">
        <v>0.2</v>
      </c>
      <c r="G35" s="293"/>
      <c r="H35" s="269">
        <v>0.14000000000000001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</row>
    <row r="36" spans="1:25" ht="15.65" customHeight="1">
      <c r="A36" s="64" t="s">
        <v>124</v>
      </c>
      <c r="B36" s="269">
        <v>0.23</v>
      </c>
      <c r="C36" s="269"/>
      <c r="D36" s="269">
        <v>0.21</v>
      </c>
      <c r="E36" s="269"/>
      <c r="F36" s="292">
        <v>0.28000000000000003</v>
      </c>
      <c r="G36" s="293"/>
      <c r="H36" s="269">
        <v>0.37</v>
      </c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</row>
    <row r="37" spans="1:25" ht="15.65" customHeight="1">
      <c r="A37" s="64" t="s">
        <v>125</v>
      </c>
      <c r="B37" s="269">
        <v>0.47</v>
      </c>
      <c r="C37" s="269"/>
      <c r="D37" s="269">
        <v>0.2</v>
      </c>
      <c r="E37" s="269"/>
      <c r="F37" s="292">
        <v>0.62</v>
      </c>
      <c r="G37" s="293"/>
      <c r="H37" s="269">
        <v>0.49</v>
      </c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</row>
    <row r="38" spans="1:25" ht="15.65" customHeight="1">
      <c r="A38" s="64" t="s">
        <v>126</v>
      </c>
      <c r="B38" s="269">
        <v>0</v>
      </c>
      <c r="C38" s="269"/>
      <c r="D38" s="269">
        <v>0</v>
      </c>
      <c r="E38" s="269"/>
      <c r="F38" s="292">
        <v>0</v>
      </c>
      <c r="G38" s="293"/>
      <c r="H38" s="269">
        <v>0</v>
      </c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</row>
    <row r="39" spans="1:25" ht="15.65" customHeight="1">
      <c r="A39" s="64" t="s">
        <v>127</v>
      </c>
      <c r="B39" s="269">
        <v>0</v>
      </c>
      <c r="C39" s="269"/>
      <c r="D39" s="269">
        <v>0</v>
      </c>
      <c r="E39" s="269"/>
      <c r="F39" s="292">
        <v>0</v>
      </c>
      <c r="G39" s="293"/>
      <c r="H39" s="269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</row>
    <row r="40" spans="1:25" ht="15.65" customHeight="1">
      <c r="A40" s="64" t="s">
        <v>128</v>
      </c>
      <c r="B40" s="269">
        <v>2.2000000000000002</v>
      </c>
      <c r="C40" s="269"/>
      <c r="D40" s="269">
        <v>2.17</v>
      </c>
      <c r="E40" s="269"/>
      <c r="F40" s="292">
        <v>1.76</v>
      </c>
      <c r="G40" s="293"/>
      <c r="H40" s="269">
        <v>1.85</v>
      </c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</row>
    <row r="41" spans="1:25" ht="15.65" customHeight="1">
      <c r="A41" s="64" t="s">
        <v>129</v>
      </c>
      <c r="B41" s="269">
        <v>0.23</v>
      </c>
      <c r="C41" s="269"/>
      <c r="D41" s="269">
        <v>0.19</v>
      </c>
      <c r="E41" s="269"/>
      <c r="F41" s="292">
        <v>0.2</v>
      </c>
      <c r="G41" s="293"/>
      <c r="H41" s="269">
        <v>0.2</v>
      </c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</row>
    <row r="42" spans="1:25" ht="15.65" customHeight="1">
      <c r="A42" s="64" t="s">
        <v>130</v>
      </c>
      <c r="B42" s="269">
        <v>0.81</v>
      </c>
      <c r="C42" s="269"/>
      <c r="D42" s="269">
        <v>0.82</v>
      </c>
      <c r="E42" s="269"/>
      <c r="F42" s="292">
        <v>0.98</v>
      </c>
      <c r="G42" s="293"/>
      <c r="H42" s="269">
        <v>1.02</v>
      </c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</row>
    <row r="43" spans="1:25" ht="15.65" customHeight="1">
      <c r="A43" s="64" t="s">
        <v>131</v>
      </c>
      <c r="B43" s="269">
        <v>0.11</v>
      </c>
      <c r="C43" s="269"/>
      <c r="D43" s="269">
        <v>0.21</v>
      </c>
      <c r="E43" s="269"/>
      <c r="F43" s="292">
        <v>0.33</v>
      </c>
      <c r="G43" s="293"/>
      <c r="H43" s="269">
        <v>0.13</v>
      </c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</row>
    <row r="44" spans="1:25" ht="15.65" customHeight="1">
      <c r="A44" s="64" t="s">
        <v>132</v>
      </c>
      <c r="B44" s="269">
        <v>5.36</v>
      </c>
      <c r="C44" s="269"/>
      <c r="D44" s="269">
        <v>15.83</v>
      </c>
      <c r="E44" s="269"/>
      <c r="F44" s="292">
        <v>6.17</v>
      </c>
      <c r="G44" s="293"/>
      <c r="H44" s="269">
        <v>9.25</v>
      </c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</row>
    <row r="45" spans="1:25" ht="15.65" customHeight="1">
      <c r="A45" s="64" t="s">
        <v>137</v>
      </c>
      <c r="B45" s="276">
        <v>12.006999558743718</v>
      </c>
      <c r="C45" s="276"/>
      <c r="D45" s="276">
        <f>'Indicadores de Desempenho'!E11</f>
        <v>7.3554697829241373</v>
      </c>
      <c r="E45" s="276"/>
      <c r="F45" s="276">
        <f>'Indicadores de Desempenho'!F11</f>
        <v>11.261717661954004</v>
      </c>
      <c r="G45" s="276"/>
      <c r="H45" s="276">
        <f>'Indicadores de Desempenho'!G11</f>
        <v>9.9600000000000009</v>
      </c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</row>
    <row r="46" spans="1:25">
      <c r="A46" s="263"/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17.25" customHeight="1">
      <c r="A47" s="272" t="s">
        <v>138</v>
      </c>
      <c r="B47" s="272"/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</row>
    <row r="48" spans="1:25" ht="15.45">
      <c r="A48" s="76" t="s">
        <v>139</v>
      </c>
      <c r="B48" s="262" t="s">
        <v>4</v>
      </c>
      <c r="C48" s="262"/>
      <c r="D48" s="262" t="s">
        <v>5</v>
      </c>
      <c r="E48" s="262"/>
      <c r="F48" s="262" t="s">
        <v>6</v>
      </c>
      <c r="G48" s="262"/>
      <c r="H48" s="262" t="s">
        <v>7</v>
      </c>
      <c r="I48" s="262"/>
      <c r="J48" s="262" t="s">
        <v>8</v>
      </c>
      <c r="K48" s="262"/>
      <c r="L48" s="262" t="s">
        <v>9</v>
      </c>
      <c r="M48" s="262"/>
      <c r="N48" s="262" t="s">
        <v>10</v>
      </c>
      <c r="O48" s="262"/>
      <c r="P48" s="262" t="s">
        <v>11</v>
      </c>
      <c r="Q48" s="262"/>
      <c r="R48" s="262" t="s">
        <v>12</v>
      </c>
      <c r="S48" s="262"/>
      <c r="T48" s="262" t="s">
        <v>13</v>
      </c>
      <c r="U48" s="262"/>
      <c r="V48" s="262" t="s">
        <v>14</v>
      </c>
      <c r="W48" s="262"/>
      <c r="X48" s="262" t="s">
        <v>15</v>
      </c>
      <c r="Y48" s="262"/>
    </row>
    <row r="49" spans="1:25" ht="20.25" customHeight="1">
      <c r="A49" s="63" t="s">
        <v>140</v>
      </c>
      <c r="B49" s="279">
        <f>IF(('Produção 2026'!C8=0)," ",'Produção 2026'!C8)</f>
        <v>1273</v>
      </c>
      <c r="C49" s="279"/>
      <c r="D49" s="279">
        <f>'Produção 2026'!D8</f>
        <v>1116</v>
      </c>
      <c r="E49" s="279"/>
      <c r="F49" s="279">
        <v>1343</v>
      </c>
      <c r="G49" s="279"/>
      <c r="H49" s="279">
        <f>IF(('Produção 2026'!F8=0)," ",'Produção 2026'!F8)</f>
        <v>1312</v>
      </c>
      <c r="I49" s="279"/>
      <c r="J49" s="279" t="str">
        <f>IF(('Produção 2026'!K8=0)," ",'Produção 2026'!K8)</f>
        <v xml:space="preserve"> </v>
      </c>
      <c r="K49" s="279"/>
      <c r="L49" s="279" t="str">
        <f>IF(('Produção 2026'!M8=0)," ",'Produção 2026'!M8)</f>
        <v xml:space="preserve"> </v>
      </c>
      <c r="M49" s="279"/>
      <c r="N49" s="279" t="str">
        <f>IF(('Produção 2026'!O8=0)," ",'Produção 2026'!O8)</f>
        <v xml:space="preserve"> </v>
      </c>
      <c r="O49" s="279"/>
      <c r="P49" s="279" t="str">
        <f>IF(('Produção 2026'!Q8=0)," ",'Produção 2026'!Q8)</f>
        <v xml:space="preserve"> </v>
      </c>
      <c r="Q49" s="279"/>
      <c r="R49" s="279" t="str">
        <f>IF(('Produção 2026'!S8=0)," ",'Produção 2026'!S8)</f>
        <v xml:space="preserve"> </v>
      </c>
      <c r="S49" s="279"/>
      <c r="T49" s="279" t="str">
        <f>IF(('Produção 2026'!U8=0)," ",'Produção 2026'!U8)</f>
        <v xml:space="preserve"> </v>
      </c>
      <c r="U49" s="279"/>
      <c r="V49" s="279" t="str">
        <f>IF(('Produção 2026'!W8=0)," ",'Produção 2026'!W8)</f>
        <v xml:space="preserve"> </v>
      </c>
      <c r="W49" s="279"/>
      <c r="X49" s="279" t="str">
        <f>IF(('Produção 2026'!Y8=0)," ",'Produção 2026'!Y8)</f>
        <v xml:space="preserve"> </v>
      </c>
      <c r="Y49" s="279"/>
    </row>
    <row r="50" spans="1:25" ht="17.25" customHeight="1">
      <c r="A50" s="63" t="s">
        <v>141</v>
      </c>
      <c r="B50" s="279">
        <v>117</v>
      </c>
      <c r="C50" s="279"/>
      <c r="D50" s="279">
        <v>91</v>
      </c>
      <c r="E50" s="279"/>
      <c r="F50" s="279">
        <v>108</v>
      </c>
      <c r="G50" s="279"/>
      <c r="H50" s="279">
        <v>116</v>
      </c>
      <c r="I50" s="279"/>
      <c r="J50" s="279"/>
      <c r="K50" s="279"/>
      <c r="L50" s="279"/>
      <c r="M50" s="279"/>
      <c r="N50" s="279"/>
      <c r="O50" s="279"/>
      <c r="P50" s="279"/>
      <c r="Q50" s="279"/>
      <c r="R50" s="279"/>
      <c r="S50" s="279"/>
      <c r="T50" s="279"/>
      <c r="U50" s="279"/>
      <c r="V50" s="279"/>
      <c r="W50" s="279"/>
      <c r="X50" s="279"/>
      <c r="Y50" s="279"/>
    </row>
    <row r="51" spans="1:25" ht="21" customHeight="1">
      <c r="A51" s="63" t="s">
        <v>142</v>
      </c>
      <c r="B51" s="280">
        <f>IFERROR(B50/B49," ")</f>
        <v>9.1908876669285156E-2</v>
      </c>
      <c r="C51" s="280"/>
      <c r="D51" s="280">
        <f t="shared" ref="D51:F51" si="0">IFERROR(D50/D49," ")</f>
        <v>8.1541218637992838E-2</v>
      </c>
      <c r="E51" s="280"/>
      <c r="F51" s="280">
        <f t="shared" si="0"/>
        <v>8.0416976917349212E-2</v>
      </c>
      <c r="G51" s="280"/>
      <c r="H51" s="280">
        <f t="shared" ref="H51" si="1">IFERROR(H50/H49," ")</f>
        <v>8.8414634146341459E-2</v>
      </c>
      <c r="I51" s="280"/>
      <c r="J51" s="280" t="str">
        <f t="shared" ref="J51" si="2">IFERROR(J50/J49," ")</f>
        <v xml:space="preserve"> </v>
      </c>
      <c r="K51" s="280"/>
      <c r="L51" s="280" t="str">
        <f t="shared" ref="L51" si="3">IFERROR(L50/L49," ")</f>
        <v xml:space="preserve"> </v>
      </c>
      <c r="M51" s="280"/>
      <c r="N51" s="280" t="str">
        <f t="shared" ref="N51" si="4">IFERROR(N50/N49," ")</f>
        <v xml:space="preserve"> </v>
      </c>
      <c r="O51" s="280"/>
      <c r="P51" s="280" t="str">
        <f t="shared" ref="P51" si="5">IFERROR(P50/P49," ")</f>
        <v xml:space="preserve"> </v>
      </c>
      <c r="Q51" s="280"/>
      <c r="R51" s="280" t="str">
        <f t="shared" ref="R51" si="6">IFERROR(R50/R49," ")</f>
        <v xml:space="preserve"> </v>
      </c>
      <c r="S51" s="280"/>
      <c r="T51" s="280" t="str">
        <f t="shared" ref="T51" si="7">IFERROR(T50/T49," ")</f>
        <v xml:space="preserve"> </v>
      </c>
      <c r="U51" s="280"/>
      <c r="V51" s="280" t="str">
        <f t="shared" ref="V51" si="8">IFERROR(V50/V49," ")</f>
        <v xml:space="preserve"> </v>
      </c>
      <c r="W51" s="280"/>
      <c r="X51" s="280" t="str">
        <f t="shared" ref="X51" si="9">IFERROR(X50/X49," ")</f>
        <v xml:space="preserve"> </v>
      </c>
      <c r="Y51" s="280"/>
    </row>
    <row r="52" spans="1:25" ht="17.25" customHeight="1">
      <c r="A52" s="63" t="s">
        <v>143</v>
      </c>
      <c r="B52" s="279">
        <v>101</v>
      </c>
      <c r="C52" s="279"/>
      <c r="D52" s="279">
        <f>91-8</f>
        <v>83</v>
      </c>
      <c r="E52" s="279"/>
      <c r="F52" s="279">
        <v>100</v>
      </c>
      <c r="G52" s="279"/>
      <c r="H52" s="279">
        <v>111</v>
      </c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</row>
    <row r="53" spans="1:25" ht="30.9">
      <c r="A53" s="64" t="s">
        <v>144</v>
      </c>
      <c r="B53" s="280">
        <f>IFERROR(B52/B49," ")</f>
        <v>7.9340141398271793E-2</v>
      </c>
      <c r="C53" s="280"/>
      <c r="D53" s="280">
        <f>IFERROR(D52/D49," ")</f>
        <v>7.4372759856630818E-2</v>
      </c>
      <c r="E53" s="280"/>
      <c r="F53" s="280">
        <f>IFERROR(F52/F49," ")</f>
        <v>7.4460163812360383E-2</v>
      </c>
      <c r="G53" s="280"/>
      <c r="H53" s="280">
        <f>IFERROR(H52/H49," ")</f>
        <v>8.4603658536585372E-2</v>
      </c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</row>
    <row r="54" spans="1:25" ht="27.75" customHeight="1">
      <c r="A54" s="64" t="s">
        <v>145</v>
      </c>
      <c r="B54" s="280">
        <f>IFERROR(17/(('Produção 2026'!C17)+('Produção 2026'!C16))," ")</f>
        <v>1.6361886429258902E-2</v>
      </c>
      <c r="C54" s="280"/>
      <c r="D54" s="280">
        <f>IFERROR(19/(('Produção 2026'!D17)+('Produção 2026'!D16))," ")</f>
        <v>2.092511013215859E-2</v>
      </c>
      <c r="E54" s="280"/>
      <c r="F54" s="280">
        <f>IFERROR(16/(('Produção 2026'!E17)+('Produção 2026'!E16))," ")</f>
        <v>1.5503875968992248E-2</v>
      </c>
      <c r="G54" s="280"/>
      <c r="H54" s="280">
        <f>IFERROR(19/(('Produção 2026'!F17)+('Produção 2026'!F16))," ")</f>
        <v>1.8357487922705314E-2</v>
      </c>
      <c r="I54" s="280"/>
      <c r="J54" s="280" t="str">
        <f>IFERROR(15/(('Produção 2026'!#REF!)+('Produção 2026'!#REF!))," ")</f>
        <v xml:space="preserve"> </v>
      </c>
      <c r="K54" s="280"/>
      <c r="L54" s="280" t="str">
        <f>IFERROR(15/(('Produção 2026'!B$17)+('Produção 2026'!B$16))," ")</f>
        <v xml:space="preserve"> </v>
      </c>
      <c r="M54" s="280"/>
      <c r="N54" s="280"/>
      <c r="O54" s="280"/>
      <c r="P54" s="280"/>
      <c r="Q54" s="280"/>
      <c r="R54" s="280" t="str">
        <f>IFERROR(15/(('Produção 2026'!H$17)+('Produção 2026'!H$16))," ")</f>
        <v xml:space="preserve"> </v>
      </c>
      <c r="S54" s="280"/>
      <c r="T54" s="280" t="str">
        <f>IFERROR(15/(('Produção 2026'!J$17)+('Produção 2026'!J$16))," ")</f>
        <v xml:space="preserve"> </v>
      </c>
      <c r="U54" s="280"/>
      <c r="V54" s="280" t="str">
        <f>IFERROR(15/(('Produção 2026'!L$17)+('Produção 2026'!L$16))," ")</f>
        <v xml:space="preserve"> </v>
      </c>
      <c r="W54" s="280"/>
      <c r="X54" s="280" t="str">
        <f>IFERROR(15/(('Produção 2026'!N$17)+('Produção 2026'!N$16))," ")</f>
        <v xml:space="preserve"> </v>
      </c>
      <c r="Y54" s="280"/>
    </row>
    <row r="55" spans="1:25" ht="33.75" customHeight="1">
      <c r="A55" s="64" t="s">
        <v>146</v>
      </c>
      <c r="B55" s="296">
        <v>100.26</v>
      </c>
      <c r="C55" s="296"/>
      <c r="D55" s="296">
        <v>124.51</v>
      </c>
      <c r="E55" s="296"/>
      <c r="F55" s="279">
        <v>117</v>
      </c>
      <c r="G55" s="279"/>
      <c r="H55" s="279">
        <v>120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</row>
    <row r="56" spans="1:25" ht="51.75" customHeight="1">
      <c r="A56" s="64" t="s">
        <v>147</v>
      </c>
      <c r="B56" s="280">
        <v>0.28089999999999998</v>
      </c>
      <c r="C56" s="280"/>
      <c r="D56" s="280">
        <v>0.2389</v>
      </c>
      <c r="E56" s="280"/>
      <c r="F56" s="280">
        <v>0.26369999999999999</v>
      </c>
      <c r="G56" s="280"/>
      <c r="H56" s="280">
        <v>0.27400000000000002</v>
      </c>
      <c r="I56" s="280"/>
      <c r="J56" s="280"/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</row>
    <row r="57" spans="1:25" ht="15.45">
      <c r="A57" s="64" t="s">
        <v>148</v>
      </c>
      <c r="B57" s="279">
        <v>375.03</v>
      </c>
      <c r="C57" s="279"/>
      <c r="D57" s="279">
        <v>391.17</v>
      </c>
      <c r="E57" s="279"/>
      <c r="F57" s="279">
        <v>387</v>
      </c>
      <c r="G57" s="279"/>
      <c r="H57" s="279">
        <v>466</v>
      </c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</row>
    <row r="58" spans="1:25" ht="19.5" customHeight="1">
      <c r="A58" s="64" t="s">
        <v>149</v>
      </c>
      <c r="B58" s="278">
        <f>IFERROR(('Produção 2026'!C17)/(('Produção 2026'!C17)+('Produção 2026'!C16)),"")</f>
        <v>0.37054860442733395</v>
      </c>
      <c r="C58" s="278"/>
      <c r="D58" s="278">
        <f>IFERROR(('Produção 2026'!D17)/(('Produção 2026'!D17)+('Produção 2026'!D16)),"")</f>
        <v>0.29074889867841408</v>
      </c>
      <c r="E58" s="278"/>
      <c r="F58" s="278">
        <v>0.25290000000000001</v>
      </c>
      <c r="G58" s="278"/>
      <c r="H58" s="278">
        <v>0.33079999999999998</v>
      </c>
      <c r="I58" s="278"/>
      <c r="J58" s="278" t="str">
        <f>IFERROR(('Produção 2026'!K17)/(('Produção 2026'!K17)+('Produção 2026'!K16)),"")</f>
        <v/>
      </c>
      <c r="K58" s="278"/>
      <c r="L58" s="278" t="str">
        <f>IFERROR(('Produção 2026'!M17)/(('Produção 2026'!M17)+('Produção 2026'!M16)),"")</f>
        <v/>
      </c>
      <c r="M58" s="278"/>
      <c r="N58" s="278" t="str">
        <f>IFERROR(('Produção 2026'!O17)/(('Produção 2026'!O17)+('Produção 2026'!O16)),"")</f>
        <v/>
      </c>
      <c r="O58" s="278"/>
      <c r="P58" s="278" t="str">
        <f>IFERROR(('Produção 2026'!Q17)/(('Produção 2026'!Q17)+('Produção 2026'!Q16)),"")</f>
        <v/>
      </c>
      <c r="Q58" s="278"/>
      <c r="R58" s="278" t="str">
        <f>IFERROR(('Produção 2026'!S17)/(('Produção 2026'!S17)+('Produção 2026'!S16)),"")</f>
        <v/>
      </c>
      <c r="S58" s="278"/>
      <c r="T58" s="278" t="str">
        <f>IFERROR(('Produção 2026'!U17)/(('Produção 2026'!U17)+('Produção 2026'!U16)),"")</f>
        <v/>
      </c>
      <c r="U58" s="278"/>
      <c r="V58" s="278" t="str">
        <f>IFERROR(('Produção 2026'!W17)/(('Produção 2026'!W17)+('Produção 2026'!W16)),"")</f>
        <v/>
      </c>
      <c r="W58" s="278"/>
      <c r="X58" s="278" t="str">
        <f>IFERROR(('Produção 2026'!Y17)/(('Produção 2026'!Y17)+('Produção 2026'!Y16)),"")</f>
        <v/>
      </c>
      <c r="Y58" s="278"/>
    </row>
    <row r="59" spans="1:25" ht="9.75" customHeight="1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</row>
    <row r="60" spans="1:25" ht="20.25" customHeight="1">
      <c r="A60" s="272" t="s">
        <v>150</v>
      </c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</row>
    <row r="61" spans="1:25" ht="23.25" customHeight="1">
      <c r="A61" s="77" t="s">
        <v>139</v>
      </c>
      <c r="B61" s="275" t="s">
        <v>4</v>
      </c>
      <c r="C61" s="275"/>
      <c r="D61" s="275" t="s">
        <v>5</v>
      </c>
      <c r="E61" s="275"/>
      <c r="F61" s="275" t="s">
        <v>6</v>
      </c>
      <c r="G61" s="275"/>
      <c r="H61" s="275" t="s">
        <v>7</v>
      </c>
      <c r="I61" s="275"/>
      <c r="J61" s="275" t="s">
        <v>8</v>
      </c>
      <c r="K61" s="275"/>
      <c r="L61" s="275" t="s">
        <v>9</v>
      </c>
      <c r="M61" s="275"/>
      <c r="N61" s="275" t="s">
        <v>10</v>
      </c>
      <c r="O61" s="275"/>
      <c r="P61" s="275" t="s">
        <v>11</v>
      </c>
      <c r="Q61" s="275"/>
      <c r="R61" s="275" t="s">
        <v>12</v>
      </c>
      <c r="S61" s="275"/>
      <c r="T61" s="275" t="s">
        <v>13</v>
      </c>
      <c r="U61" s="275"/>
      <c r="V61" s="275" t="s">
        <v>14</v>
      </c>
      <c r="W61" s="275"/>
      <c r="X61" s="275" t="s">
        <v>15</v>
      </c>
      <c r="Y61" s="275"/>
    </row>
    <row r="62" spans="1:25" ht="15.65" customHeight="1">
      <c r="A62" s="65" t="s">
        <v>151</v>
      </c>
      <c r="B62" s="285">
        <f>B63+B64</f>
        <v>243</v>
      </c>
      <c r="C62" s="284"/>
      <c r="D62" s="285">
        <f>D63+D64</f>
        <v>249</v>
      </c>
      <c r="E62" s="284"/>
      <c r="F62" s="285">
        <f>F63+F64</f>
        <v>247</v>
      </c>
      <c r="G62" s="284"/>
      <c r="H62" s="285">
        <f>H63+H64</f>
        <v>252</v>
      </c>
      <c r="I62" s="284"/>
      <c r="J62" s="270"/>
      <c r="K62" s="270"/>
      <c r="L62" s="270"/>
      <c r="M62" s="270"/>
      <c r="N62" s="270"/>
      <c r="O62" s="270"/>
      <c r="P62" s="270"/>
      <c r="Q62" s="270"/>
      <c r="R62" s="270"/>
      <c r="S62" s="270"/>
      <c r="T62" s="270"/>
      <c r="U62" s="270"/>
      <c r="V62" s="270"/>
      <c r="W62" s="270"/>
      <c r="X62" s="270"/>
      <c r="Y62" s="270"/>
    </row>
    <row r="63" spans="1:25" ht="15.65" customHeight="1">
      <c r="A63" s="65" t="s">
        <v>152</v>
      </c>
      <c r="B63" s="290">
        <v>0</v>
      </c>
      <c r="C63" s="282"/>
      <c r="D63" s="290">
        <v>0</v>
      </c>
      <c r="E63" s="282"/>
      <c r="F63" s="281">
        <v>0</v>
      </c>
      <c r="G63" s="282"/>
      <c r="H63" s="281">
        <v>0</v>
      </c>
      <c r="I63" s="282"/>
      <c r="J63" s="270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270"/>
    </row>
    <row r="64" spans="1:25" ht="15.65" customHeight="1">
      <c r="A64" s="65" t="s">
        <v>153</v>
      </c>
      <c r="B64" s="290">
        <v>243</v>
      </c>
      <c r="C64" s="282"/>
      <c r="D64" s="290">
        <v>249</v>
      </c>
      <c r="E64" s="282"/>
      <c r="F64" s="281">
        <v>247</v>
      </c>
      <c r="G64" s="282"/>
      <c r="H64" s="281">
        <v>252</v>
      </c>
      <c r="I64" s="282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</row>
    <row r="65" spans="1:25" ht="21.75" customHeight="1">
      <c r="A65" s="65" t="s">
        <v>154</v>
      </c>
      <c r="B65" s="285">
        <f>B66+B67</f>
        <v>689</v>
      </c>
      <c r="C65" s="284"/>
      <c r="D65" s="285">
        <f>D66+D67</f>
        <v>692</v>
      </c>
      <c r="E65" s="284"/>
      <c r="F65" s="285">
        <f>F66+F67</f>
        <v>676</v>
      </c>
      <c r="G65" s="284"/>
      <c r="H65" s="285">
        <f>H66+H67</f>
        <v>677</v>
      </c>
      <c r="I65" s="284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</row>
    <row r="66" spans="1:25" ht="21" customHeight="1">
      <c r="A66" s="65" t="s">
        <v>155</v>
      </c>
      <c r="B66" s="290">
        <v>86</v>
      </c>
      <c r="C66" s="282"/>
      <c r="D66" s="290">
        <v>85</v>
      </c>
      <c r="E66" s="282"/>
      <c r="F66" s="281">
        <v>85</v>
      </c>
      <c r="G66" s="282"/>
      <c r="H66" s="281">
        <v>81</v>
      </c>
      <c r="I66" s="282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</row>
    <row r="67" spans="1:25" ht="20.25" customHeight="1">
      <c r="A67" s="65" t="s">
        <v>156</v>
      </c>
      <c r="B67" s="290">
        <v>603</v>
      </c>
      <c r="C67" s="282"/>
      <c r="D67" s="290">
        <v>607</v>
      </c>
      <c r="E67" s="282"/>
      <c r="F67" s="281">
        <v>591</v>
      </c>
      <c r="G67" s="282"/>
      <c r="H67" s="281">
        <v>596</v>
      </c>
      <c r="I67" s="282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</row>
    <row r="68" spans="1:25" ht="15.65" customHeight="1">
      <c r="A68" s="65" t="s">
        <v>157</v>
      </c>
      <c r="B68" s="283">
        <f>B69+B70+B71</f>
        <v>860</v>
      </c>
      <c r="C68" s="284"/>
      <c r="D68" s="283">
        <f>D69+D70+D71</f>
        <v>853</v>
      </c>
      <c r="E68" s="284"/>
      <c r="F68" s="283">
        <f>F69+F70+F71</f>
        <v>860</v>
      </c>
      <c r="G68" s="284"/>
      <c r="H68" s="283">
        <f>H69+H70+H71</f>
        <v>971</v>
      </c>
      <c r="I68" s="284"/>
      <c r="J68" s="270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70"/>
    </row>
    <row r="69" spans="1:25" ht="15.65" customHeight="1">
      <c r="A69" s="65" t="s">
        <v>158</v>
      </c>
      <c r="B69" s="294">
        <v>60</v>
      </c>
      <c r="C69" s="295"/>
      <c r="D69" s="294">
        <v>48</v>
      </c>
      <c r="E69" s="295"/>
      <c r="F69" s="281">
        <v>48</v>
      </c>
      <c r="G69" s="282"/>
      <c r="H69" s="281">
        <v>48</v>
      </c>
      <c r="I69" s="282"/>
      <c r="J69" s="270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270"/>
    </row>
    <row r="70" spans="1:25" ht="15.65" customHeight="1">
      <c r="A70" s="65" t="s">
        <v>159</v>
      </c>
      <c r="B70" s="294">
        <v>0</v>
      </c>
      <c r="C70" s="295"/>
      <c r="D70" s="294">
        <v>0</v>
      </c>
      <c r="E70" s="295"/>
      <c r="F70" s="281">
        <v>0</v>
      </c>
      <c r="G70" s="282"/>
      <c r="H70" s="281">
        <v>0</v>
      </c>
      <c r="I70" s="282"/>
      <c r="J70" s="270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270"/>
    </row>
    <row r="71" spans="1:25" ht="15.65" customHeight="1">
      <c r="A71" s="65" t="s">
        <v>160</v>
      </c>
      <c r="B71" s="294">
        <v>800</v>
      </c>
      <c r="C71" s="295"/>
      <c r="D71" s="294">
        <v>805</v>
      </c>
      <c r="E71" s="295"/>
      <c r="F71" s="281">
        <v>812</v>
      </c>
      <c r="G71" s="282"/>
      <c r="H71" s="281">
        <v>923</v>
      </c>
      <c r="I71" s="282"/>
      <c r="J71" s="270"/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270"/>
    </row>
    <row r="72" spans="1:25" ht="15.65" customHeight="1">
      <c r="A72" s="65" t="s">
        <v>161</v>
      </c>
      <c r="B72" s="290">
        <v>782</v>
      </c>
      <c r="C72" s="282"/>
      <c r="D72" s="290">
        <v>789</v>
      </c>
      <c r="E72" s="282"/>
      <c r="F72" s="281">
        <v>790</v>
      </c>
      <c r="G72" s="282"/>
      <c r="H72" s="281">
        <v>922</v>
      </c>
      <c r="I72" s="282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</row>
    <row r="73" spans="1:25" ht="15.65" customHeight="1">
      <c r="A73" s="65" t="s">
        <v>162</v>
      </c>
      <c r="B73" s="285">
        <f>B74+B75</f>
        <v>20</v>
      </c>
      <c r="C73" s="284"/>
      <c r="D73" s="285">
        <f>D74+D75</f>
        <v>18</v>
      </c>
      <c r="E73" s="284"/>
      <c r="F73" s="285">
        <f>F74+F75</f>
        <v>22</v>
      </c>
      <c r="G73" s="284"/>
      <c r="H73" s="285">
        <f>H74+H75</f>
        <v>22</v>
      </c>
      <c r="I73" s="284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</row>
    <row r="74" spans="1:25" ht="15.65" customHeight="1">
      <c r="A74" s="65" t="s">
        <v>163</v>
      </c>
      <c r="B74" s="290">
        <v>0</v>
      </c>
      <c r="C74" s="282"/>
      <c r="D74" s="290">
        <v>0</v>
      </c>
      <c r="E74" s="282"/>
      <c r="F74" s="281">
        <v>0</v>
      </c>
      <c r="G74" s="282"/>
      <c r="H74" s="281">
        <v>0</v>
      </c>
      <c r="I74" s="282"/>
      <c r="J74" s="270"/>
      <c r="K74" s="270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270"/>
    </row>
    <row r="75" spans="1:25" ht="15.65" customHeight="1">
      <c r="A75" s="65" t="s">
        <v>164</v>
      </c>
      <c r="B75" s="290">
        <v>20</v>
      </c>
      <c r="C75" s="282"/>
      <c r="D75" s="290">
        <v>18</v>
      </c>
      <c r="E75" s="282"/>
      <c r="F75" s="281">
        <v>22</v>
      </c>
      <c r="G75" s="282"/>
      <c r="H75" s="281">
        <v>22</v>
      </c>
      <c r="I75" s="282"/>
      <c r="J75" s="270"/>
      <c r="K75" s="270"/>
      <c r="L75" s="270"/>
      <c r="M75" s="270"/>
      <c r="N75" s="270"/>
      <c r="O75" s="270"/>
      <c r="P75" s="270"/>
      <c r="Q75" s="270"/>
      <c r="R75" s="270"/>
      <c r="S75" s="270"/>
      <c r="T75" s="270"/>
      <c r="U75" s="270"/>
      <c r="V75" s="270"/>
      <c r="W75" s="270"/>
      <c r="X75" s="270"/>
      <c r="Y75" s="270"/>
    </row>
    <row r="76" spans="1:25" ht="15.65" customHeight="1">
      <c r="A76" s="65" t="s">
        <v>165</v>
      </c>
      <c r="B76" s="285">
        <f>B77+B78</f>
        <v>130</v>
      </c>
      <c r="C76" s="284"/>
      <c r="D76" s="285">
        <f>D77+D78</f>
        <v>123</v>
      </c>
      <c r="E76" s="284"/>
      <c r="F76" s="285">
        <f>F77+F78</f>
        <v>125</v>
      </c>
      <c r="G76" s="284"/>
      <c r="H76" s="285">
        <f>H77+H78</f>
        <v>123</v>
      </c>
      <c r="I76" s="284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</row>
    <row r="77" spans="1:25" ht="15.65" customHeight="1">
      <c r="A77" s="65" t="s">
        <v>166</v>
      </c>
      <c r="B77" s="290">
        <v>0</v>
      </c>
      <c r="C77" s="282"/>
      <c r="D77" s="290">
        <v>0</v>
      </c>
      <c r="E77" s="282"/>
      <c r="F77" s="281">
        <v>0</v>
      </c>
      <c r="G77" s="282"/>
      <c r="H77" s="281">
        <v>0</v>
      </c>
      <c r="I77" s="282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</row>
    <row r="78" spans="1:25" ht="15.65" customHeight="1">
      <c r="A78" s="65" t="s">
        <v>167</v>
      </c>
      <c r="B78" s="290">
        <v>130</v>
      </c>
      <c r="C78" s="282"/>
      <c r="D78" s="290">
        <v>123</v>
      </c>
      <c r="E78" s="282"/>
      <c r="F78" s="281">
        <v>125</v>
      </c>
      <c r="G78" s="282"/>
      <c r="H78" s="281">
        <v>123</v>
      </c>
      <c r="I78" s="282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</row>
    <row r="79" spans="1:25" ht="15.65" customHeight="1">
      <c r="A79" s="65" t="s">
        <v>168</v>
      </c>
      <c r="B79" s="285">
        <f>B80+B81</f>
        <v>13</v>
      </c>
      <c r="C79" s="284"/>
      <c r="D79" s="285">
        <f>D80+D81</f>
        <v>10</v>
      </c>
      <c r="E79" s="284"/>
      <c r="F79" s="285">
        <f>F80+F81</f>
        <v>10</v>
      </c>
      <c r="G79" s="284"/>
      <c r="H79" s="285">
        <f>H80+H81</f>
        <v>10</v>
      </c>
      <c r="I79" s="284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</row>
    <row r="80" spans="1:25" ht="15.65" customHeight="1">
      <c r="A80" s="65" t="s">
        <v>169</v>
      </c>
      <c r="B80" s="290">
        <v>0</v>
      </c>
      <c r="C80" s="282"/>
      <c r="D80" s="290">
        <v>0</v>
      </c>
      <c r="E80" s="282"/>
      <c r="F80" s="281">
        <v>0</v>
      </c>
      <c r="G80" s="282"/>
      <c r="H80" s="281">
        <v>0</v>
      </c>
      <c r="I80" s="282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</row>
    <row r="81" spans="1:25" ht="15.65" customHeight="1">
      <c r="A81" s="65" t="s">
        <v>170</v>
      </c>
      <c r="B81" s="290">
        <v>13</v>
      </c>
      <c r="C81" s="282"/>
      <c r="D81" s="290">
        <v>10</v>
      </c>
      <c r="E81" s="282"/>
      <c r="F81" s="281">
        <v>10</v>
      </c>
      <c r="G81" s="282"/>
      <c r="H81" s="281">
        <v>10</v>
      </c>
      <c r="I81" s="282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</row>
    <row r="82" spans="1:25" ht="15.65" customHeight="1">
      <c r="A82" s="65" t="s">
        <v>171</v>
      </c>
      <c r="B82" s="285">
        <f>B83+B84</f>
        <v>19</v>
      </c>
      <c r="C82" s="284"/>
      <c r="D82" s="285">
        <f>D83+D84</f>
        <v>20</v>
      </c>
      <c r="E82" s="284"/>
      <c r="F82" s="285">
        <f>F83+F84</f>
        <v>20</v>
      </c>
      <c r="G82" s="284"/>
      <c r="H82" s="285">
        <f>H83+H84</f>
        <v>21</v>
      </c>
      <c r="I82" s="284"/>
      <c r="J82" s="270"/>
      <c r="K82" s="270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0"/>
      <c r="W82" s="270"/>
      <c r="X82" s="270"/>
      <c r="Y82" s="270"/>
    </row>
    <row r="83" spans="1:25" ht="15.65" customHeight="1">
      <c r="A83" s="65" t="s">
        <v>172</v>
      </c>
      <c r="B83" s="290">
        <v>0</v>
      </c>
      <c r="C83" s="282"/>
      <c r="D83" s="290">
        <v>0</v>
      </c>
      <c r="E83" s="282"/>
      <c r="F83" s="281">
        <v>0</v>
      </c>
      <c r="G83" s="282"/>
      <c r="H83" s="281">
        <v>0</v>
      </c>
      <c r="I83" s="282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</row>
    <row r="84" spans="1:25" ht="15.65" customHeight="1">
      <c r="A84" s="65" t="s">
        <v>173</v>
      </c>
      <c r="B84" s="290">
        <v>19</v>
      </c>
      <c r="C84" s="282"/>
      <c r="D84" s="290">
        <v>20</v>
      </c>
      <c r="E84" s="282"/>
      <c r="F84" s="281">
        <v>20</v>
      </c>
      <c r="G84" s="282"/>
      <c r="H84" s="281">
        <v>21</v>
      </c>
      <c r="I84" s="282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</row>
    <row r="85" spans="1:25" ht="15.65" customHeight="1">
      <c r="A85" s="65" t="s">
        <v>174</v>
      </c>
      <c r="B85" s="285">
        <f>B86+B87</f>
        <v>14</v>
      </c>
      <c r="C85" s="284"/>
      <c r="D85" s="285">
        <f>D86+D87</f>
        <v>14</v>
      </c>
      <c r="E85" s="284"/>
      <c r="F85" s="285">
        <f>F86+F87</f>
        <v>13</v>
      </c>
      <c r="G85" s="284"/>
      <c r="H85" s="285">
        <f>H86+H87</f>
        <v>15</v>
      </c>
      <c r="I85" s="284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</row>
    <row r="86" spans="1:25" ht="15.65" customHeight="1">
      <c r="A86" s="65" t="s">
        <v>175</v>
      </c>
      <c r="B86" s="290">
        <v>0</v>
      </c>
      <c r="C86" s="282"/>
      <c r="D86" s="290">
        <v>0</v>
      </c>
      <c r="E86" s="282"/>
      <c r="F86" s="281">
        <v>0</v>
      </c>
      <c r="G86" s="282"/>
      <c r="H86" s="281">
        <v>0</v>
      </c>
      <c r="I86" s="282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</row>
    <row r="87" spans="1:25" ht="15.65" customHeight="1">
      <c r="A87" s="65" t="s">
        <v>176</v>
      </c>
      <c r="B87" s="290">
        <v>14</v>
      </c>
      <c r="C87" s="282"/>
      <c r="D87" s="290">
        <v>14</v>
      </c>
      <c r="E87" s="282"/>
      <c r="F87" s="281">
        <v>13</v>
      </c>
      <c r="G87" s="282"/>
      <c r="H87" s="281">
        <v>15</v>
      </c>
      <c r="I87" s="282"/>
      <c r="J87" s="270"/>
      <c r="K87" s="270"/>
      <c r="L87" s="270"/>
      <c r="M87" s="270"/>
      <c r="N87" s="270"/>
      <c r="O87" s="270"/>
      <c r="P87" s="270"/>
      <c r="Q87" s="270"/>
      <c r="R87" s="270"/>
      <c r="S87" s="270"/>
      <c r="T87" s="270"/>
      <c r="U87" s="270"/>
      <c r="V87" s="270"/>
      <c r="W87" s="270"/>
      <c r="X87" s="270"/>
      <c r="Y87" s="270"/>
    </row>
    <row r="88" spans="1:25" ht="15.65" customHeight="1">
      <c r="A88" s="65" t="s">
        <v>177</v>
      </c>
      <c r="B88" s="285">
        <f>B89+B90</f>
        <v>24</v>
      </c>
      <c r="C88" s="284"/>
      <c r="D88" s="285">
        <f>D89+D90</f>
        <v>24</v>
      </c>
      <c r="E88" s="284"/>
      <c r="F88" s="285">
        <f>F89+F90</f>
        <v>26</v>
      </c>
      <c r="G88" s="284"/>
      <c r="H88" s="285">
        <f>H89+H90</f>
        <v>13</v>
      </c>
      <c r="I88" s="284"/>
      <c r="J88" s="270"/>
      <c r="K88" s="270"/>
      <c r="L88" s="270"/>
      <c r="M88" s="270"/>
      <c r="N88" s="270"/>
      <c r="O88" s="270"/>
      <c r="P88" s="270"/>
      <c r="Q88" s="270"/>
      <c r="R88" s="270"/>
      <c r="S88" s="270"/>
      <c r="T88" s="270"/>
      <c r="U88" s="270"/>
      <c r="V88" s="270"/>
      <c r="W88" s="270"/>
      <c r="X88" s="270"/>
      <c r="Y88" s="270"/>
    </row>
    <row r="89" spans="1:25" ht="15.65" customHeight="1">
      <c r="A89" s="65" t="s">
        <v>178</v>
      </c>
      <c r="B89" s="290">
        <v>0</v>
      </c>
      <c r="C89" s="282"/>
      <c r="D89" s="290">
        <v>0</v>
      </c>
      <c r="E89" s="282"/>
      <c r="F89" s="281">
        <v>0</v>
      </c>
      <c r="G89" s="282"/>
      <c r="H89" s="281">
        <v>0</v>
      </c>
      <c r="I89" s="282"/>
      <c r="J89" s="270"/>
      <c r="K89" s="270"/>
      <c r="L89" s="270"/>
      <c r="M89" s="270"/>
      <c r="N89" s="270"/>
      <c r="O89" s="270"/>
      <c r="P89" s="270"/>
      <c r="Q89" s="270"/>
      <c r="R89" s="270"/>
      <c r="S89" s="270"/>
      <c r="T89" s="270"/>
      <c r="U89" s="270"/>
      <c r="V89" s="270"/>
      <c r="W89" s="270"/>
      <c r="X89" s="270"/>
      <c r="Y89" s="270"/>
    </row>
    <row r="90" spans="1:25" ht="15.65" customHeight="1">
      <c r="A90" s="65" t="s">
        <v>179</v>
      </c>
      <c r="B90" s="290">
        <v>24</v>
      </c>
      <c r="C90" s="282"/>
      <c r="D90" s="290">
        <v>24</v>
      </c>
      <c r="E90" s="282"/>
      <c r="F90" s="281">
        <v>26</v>
      </c>
      <c r="G90" s="282"/>
      <c r="H90" s="281">
        <v>13</v>
      </c>
      <c r="I90" s="282"/>
      <c r="J90" s="270"/>
      <c r="K90" s="270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</row>
    <row r="91" spans="1:25" ht="15.65" customHeight="1">
      <c r="A91" s="65" t="s">
        <v>180</v>
      </c>
      <c r="B91" s="285">
        <f>B92+B93</f>
        <v>4</v>
      </c>
      <c r="C91" s="284"/>
      <c r="D91" s="285">
        <f>D92+D93</f>
        <v>5</v>
      </c>
      <c r="E91" s="284"/>
      <c r="F91" s="285">
        <f>F92+F93</f>
        <v>10</v>
      </c>
      <c r="G91" s="284"/>
      <c r="H91" s="285">
        <f>H92+H93</f>
        <v>10</v>
      </c>
      <c r="I91" s="284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</row>
    <row r="92" spans="1:25" ht="15.65" customHeight="1">
      <c r="A92" s="65" t="s">
        <v>181</v>
      </c>
      <c r="B92" s="290">
        <v>1</v>
      </c>
      <c r="C92" s="282"/>
      <c r="D92" s="290">
        <v>1</v>
      </c>
      <c r="E92" s="282"/>
      <c r="F92" s="281">
        <v>1</v>
      </c>
      <c r="G92" s="282"/>
      <c r="H92" s="281">
        <v>1</v>
      </c>
      <c r="I92" s="282"/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</row>
    <row r="93" spans="1:25" ht="15.65" customHeight="1">
      <c r="A93" s="65" t="s">
        <v>182</v>
      </c>
      <c r="B93" s="290">
        <v>3</v>
      </c>
      <c r="C93" s="282"/>
      <c r="D93" s="290">
        <v>4</v>
      </c>
      <c r="E93" s="282"/>
      <c r="F93" s="281">
        <v>9</v>
      </c>
      <c r="G93" s="282"/>
      <c r="H93" s="281">
        <v>9</v>
      </c>
      <c r="I93" s="282"/>
      <c r="J93" s="270"/>
      <c r="K93" s="270"/>
      <c r="L93" s="270"/>
      <c r="M93" s="270"/>
      <c r="N93" s="270"/>
      <c r="O93" s="270"/>
      <c r="P93" s="270"/>
      <c r="Q93" s="270"/>
      <c r="R93" s="270"/>
      <c r="S93" s="270"/>
      <c r="T93" s="270"/>
      <c r="U93" s="270"/>
      <c r="V93" s="270"/>
      <c r="W93" s="270"/>
      <c r="X93" s="270"/>
      <c r="Y93" s="270"/>
    </row>
    <row r="94" spans="1:25" ht="15.65" customHeight="1">
      <c r="A94" s="65" t="s">
        <v>183</v>
      </c>
      <c r="B94" s="285">
        <f>B95+B96</f>
        <v>480</v>
      </c>
      <c r="C94" s="284"/>
      <c r="D94" s="285">
        <f>D95+D96</f>
        <v>487</v>
      </c>
      <c r="E94" s="284"/>
      <c r="F94" s="285">
        <f>F95+F96</f>
        <v>488</v>
      </c>
      <c r="G94" s="284"/>
      <c r="H94" s="285">
        <f>H95+H96</f>
        <v>503</v>
      </c>
      <c r="I94" s="284"/>
      <c r="J94" s="270"/>
      <c r="K94" s="270"/>
      <c r="L94" s="270"/>
      <c r="M94" s="270"/>
      <c r="N94" s="270"/>
      <c r="O94" s="270"/>
      <c r="P94" s="270"/>
      <c r="Q94" s="270"/>
      <c r="R94" s="270"/>
      <c r="S94" s="270"/>
      <c r="T94" s="270"/>
      <c r="U94" s="270"/>
      <c r="V94" s="270"/>
      <c r="W94" s="270"/>
      <c r="X94" s="270"/>
      <c r="Y94" s="270"/>
    </row>
    <row r="95" spans="1:25" ht="15.65" customHeight="1">
      <c r="A95" s="65" t="s">
        <v>184</v>
      </c>
      <c r="B95" s="290">
        <v>46</v>
      </c>
      <c r="C95" s="282"/>
      <c r="D95" s="290">
        <v>58</v>
      </c>
      <c r="E95" s="282"/>
      <c r="F95" s="281">
        <v>58</v>
      </c>
      <c r="G95" s="282"/>
      <c r="H95" s="281">
        <v>57</v>
      </c>
      <c r="I95" s="282"/>
      <c r="J95" s="270"/>
      <c r="K95" s="270"/>
      <c r="L95" s="270"/>
      <c r="M95" s="270"/>
      <c r="N95" s="270"/>
      <c r="O95" s="270"/>
      <c r="P95" s="270"/>
      <c r="Q95" s="270"/>
      <c r="R95" s="270"/>
      <c r="S95" s="270"/>
      <c r="T95" s="270"/>
      <c r="U95" s="270"/>
      <c r="V95" s="270"/>
      <c r="W95" s="270"/>
      <c r="X95" s="270"/>
      <c r="Y95" s="270"/>
    </row>
    <row r="96" spans="1:25" ht="15.65" customHeight="1">
      <c r="A96" s="65" t="s">
        <v>185</v>
      </c>
      <c r="B96" s="290">
        <v>434</v>
      </c>
      <c r="C96" s="282"/>
      <c r="D96" s="290">
        <v>429</v>
      </c>
      <c r="E96" s="282"/>
      <c r="F96" s="281">
        <v>430</v>
      </c>
      <c r="G96" s="282"/>
      <c r="H96" s="281">
        <v>446</v>
      </c>
      <c r="I96" s="282"/>
      <c r="J96" s="270"/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</row>
    <row r="97" spans="1:25" ht="15.65" customHeight="1">
      <c r="A97" s="65" t="s">
        <v>186</v>
      </c>
      <c r="B97" s="283">
        <f>B94+B91+B88+B85+B82+B79+B76+B73+B68+B65+B62</f>
        <v>2496</v>
      </c>
      <c r="C97" s="284"/>
      <c r="D97" s="283">
        <f>D94+D91+D88+D85+D82+D79+D76+D73+D68+D65+D62</f>
        <v>2495</v>
      </c>
      <c r="E97" s="284"/>
      <c r="F97" s="283">
        <f>F94+F91+F88+F85+F82+F79+F76+F73+F68+F65+F62</f>
        <v>2497</v>
      </c>
      <c r="G97" s="284"/>
      <c r="H97" s="283">
        <f>H94+H91+H88+H85+H82+H79+H76+H73+H68+H65+H62</f>
        <v>2617</v>
      </c>
      <c r="I97" s="284"/>
      <c r="J97" s="271"/>
      <c r="K97" s="271"/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</row>
    <row r="98" spans="1:25" ht="15.65" customHeight="1">
      <c r="A98" s="65" t="s">
        <v>187</v>
      </c>
      <c r="B98" s="290">
        <v>342</v>
      </c>
      <c r="C98" s="282"/>
      <c r="D98" s="290">
        <v>342</v>
      </c>
      <c r="E98" s="282"/>
      <c r="F98" s="281">
        <v>342</v>
      </c>
      <c r="G98" s="282"/>
      <c r="H98" s="281">
        <v>342</v>
      </c>
      <c r="I98" s="282"/>
      <c r="J98" s="270"/>
      <c r="K98" s="270"/>
      <c r="L98" s="270"/>
      <c r="M98" s="270"/>
      <c r="N98" s="270"/>
      <c r="O98" s="270"/>
      <c r="P98" s="270"/>
      <c r="Q98" s="270"/>
      <c r="R98" s="270"/>
      <c r="S98" s="270"/>
      <c r="T98" s="273"/>
      <c r="U98" s="274"/>
      <c r="V98" s="273"/>
      <c r="W98" s="274"/>
      <c r="X98" s="270"/>
      <c r="Y98" s="270"/>
    </row>
    <row r="99" spans="1:25">
      <c r="A99" s="263"/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</row>
    <row r="100" spans="1:25" ht="18.75" customHeight="1">
      <c r="A100" s="272" t="s">
        <v>188</v>
      </c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</row>
    <row r="101" spans="1:25" ht="19.5" customHeight="1">
      <c r="A101" s="76" t="s">
        <v>139</v>
      </c>
      <c r="B101" s="262" t="s">
        <v>4</v>
      </c>
      <c r="C101" s="262"/>
      <c r="D101" s="262" t="s">
        <v>5</v>
      </c>
      <c r="E101" s="262"/>
      <c r="F101" s="262" t="s">
        <v>6</v>
      </c>
      <c r="G101" s="262"/>
      <c r="H101" s="262" t="s">
        <v>7</v>
      </c>
      <c r="I101" s="262"/>
      <c r="J101" s="262" t="s">
        <v>8</v>
      </c>
      <c r="K101" s="262"/>
      <c r="L101" s="262" t="s">
        <v>9</v>
      </c>
      <c r="M101" s="262"/>
      <c r="N101" s="262" t="s">
        <v>10</v>
      </c>
      <c r="O101" s="262"/>
      <c r="P101" s="262" t="s">
        <v>11</v>
      </c>
      <c r="Q101" s="262"/>
      <c r="R101" s="262" t="s">
        <v>12</v>
      </c>
      <c r="S101" s="262"/>
      <c r="T101" s="262" t="s">
        <v>13</v>
      </c>
      <c r="U101" s="262"/>
      <c r="V101" s="262" t="s">
        <v>14</v>
      </c>
      <c r="W101" s="262"/>
      <c r="X101" s="262" t="s">
        <v>15</v>
      </c>
      <c r="Y101" s="262"/>
    </row>
    <row r="102" spans="1:25" ht="15.65" customHeight="1">
      <c r="A102" s="64" t="s">
        <v>189</v>
      </c>
      <c r="B102" s="269">
        <f>B62/B98</f>
        <v>0.71052631578947367</v>
      </c>
      <c r="C102" s="269"/>
      <c r="D102" s="269">
        <f>D62/D98</f>
        <v>0.72807017543859653</v>
      </c>
      <c r="E102" s="269"/>
      <c r="F102" s="269">
        <f>F62/F98</f>
        <v>0.72222222222222221</v>
      </c>
      <c r="G102" s="269"/>
      <c r="H102" s="269">
        <f>H62/H98</f>
        <v>0.73684210526315785</v>
      </c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</row>
    <row r="103" spans="1:25" ht="15.45">
      <c r="A103" s="64" t="s">
        <v>190</v>
      </c>
      <c r="B103" s="269">
        <f>B65/B98</f>
        <v>2.0146198830409356</v>
      </c>
      <c r="C103" s="269"/>
      <c r="D103" s="269">
        <f>D65/D98</f>
        <v>2.0233918128654973</v>
      </c>
      <c r="E103" s="269"/>
      <c r="F103" s="269">
        <f>F65/F98</f>
        <v>1.9766081871345029</v>
      </c>
      <c r="G103" s="269"/>
      <c r="H103" s="269">
        <f>H65/H98</f>
        <v>1.9795321637426901</v>
      </c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</row>
    <row r="104" spans="1:25" ht="15.45">
      <c r="A104" s="64" t="s">
        <v>191</v>
      </c>
      <c r="B104" s="269">
        <f>B97/B98</f>
        <v>7.2982456140350873</v>
      </c>
      <c r="C104" s="269"/>
      <c r="D104" s="269">
        <f>D97/D98</f>
        <v>7.295321637426901</v>
      </c>
      <c r="E104" s="269"/>
      <c r="F104" s="269">
        <f>F97/F98</f>
        <v>7.3011695906432745</v>
      </c>
      <c r="G104" s="269"/>
      <c r="H104" s="269">
        <f>H97/H98</f>
        <v>7.6520467836257309</v>
      </c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</row>
    <row r="105" spans="1:25" ht="15.45">
      <c r="A105" s="64" t="s">
        <v>192</v>
      </c>
      <c r="B105" s="269">
        <f>B72/B68</f>
        <v>0.90930232558139534</v>
      </c>
      <c r="C105" s="269"/>
      <c r="D105" s="269">
        <f>D72/D68</f>
        <v>0.92497069167643609</v>
      </c>
      <c r="E105" s="269"/>
      <c r="F105" s="269">
        <f>F72/F68</f>
        <v>0.91860465116279066</v>
      </c>
      <c r="G105" s="269"/>
      <c r="H105" s="269">
        <f>H72/H68</f>
        <v>0.94953656024716782</v>
      </c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</row>
    <row r="106" spans="1:25" ht="15.75" customHeight="1">
      <c r="A106" s="263"/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</row>
    <row r="107" spans="1:25" ht="15.45">
      <c r="A107" s="272" t="s">
        <v>188</v>
      </c>
      <c r="B107" s="272"/>
      <c r="C107" s="27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</row>
    <row r="108" spans="1:25" ht="15.45">
      <c r="A108" s="76" t="s">
        <v>193</v>
      </c>
      <c r="B108" s="262" t="s">
        <v>4</v>
      </c>
      <c r="C108" s="262"/>
      <c r="D108" s="262" t="s">
        <v>5</v>
      </c>
      <c r="E108" s="262"/>
      <c r="F108" s="262" t="s">
        <v>6</v>
      </c>
      <c r="G108" s="262"/>
      <c r="H108" s="262" t="s">
        <v>7</v>
      </c>
      <c r="I108" s="262"/>
      <c r="J108" s="262" t="s">
        <v>8</v>
      </c>
      <c r="K108" s="262"/>
      <c r="L108" s="262" t="s">
        <v>9</v>
      </c>
      <c r="M108" s="262"/>
      <c r="N108" s="262" t="s">
        <v>10</v>
      </c>
      <c r="O108" s="262"/>
      <c r="P108" s="262" t="s">
        <v>11</v>
      </c>
      <c r="Q108" s="262"/>
      <c r="R108" s="262" t="s">
        <v>12</v>
      </c>
      <c r="S108" s="262"/>
      <c r="T108" s="262" t="s">
        <v>13</v>
      </c>
      <c r="U108" s="262"/>
      <c r="V108" s="262" t="s">
        <v>14</v>
      </c>
      <c r="W108" s="262"/>
      <c r="X108" s="262" t="s">
        <v>15</v>
      </c>
      <c r="Y108" s="262"/>
    </row>
    <row r="109" spans="1:25" ht="18" customHeight="1">
      <c r="A109" s="69" t="s">
        <v>194</v>
      </c>
      <c r="B109" s="286">
        <v>4.2000000000000003E-2</v>
      </c>
      <c r="C109" s="287"/>
      <c r="D109" s="286">
        <v>3.6999999999999998E-2</v>
      </c>
      <c r="E109" s="287"/>
      <c r="F109" s="286">
        <v>2.5000000000000001E-2</v>
      </c>
      <c r="G109" s="287"/>
      <c r="H109" s="286">
        <v>3.2800000000000003E-2</v>
      </c>
      <c r="I109" s="28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</row>
    <row r="110" spans="1:25" ht="17.25" customHeight="1">
      <c r="A110" s="69" t="s">
        <v>195</v>
      </c>
      <c r="B110" s="286">
        <v>2.7E-2</v>
      </c>
      <c r="C110" s="287"/>
      <c r="D110" s="286">
        <v>3.5999999999999997E-2</v>
      </c>
      <c r="E110" s="287"/>
      <c r="F110" s="286">
        <v>4.9000000000000002E-2</v>
      </c>
      <c r="G110" s="287"/>
      <c r="H110" s="286">
        <v>3.39E-2</v>
      </c>
      <c r="I110" s="28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</row>
    <row r="111" spans="1:25" ht="17.25" customHeight="1">
      <c r="A111" s="69" t="s">
        <v>196</v>
      </c>
      <c r="B111" s="286">
        <v>0</v>
      </c>
      <c r="C111" s="287"/>
      <c r="D111" s="286">
        <v>0</v>
      </c>
      <c r="E111" s="287"/>
      <c r="F111" s="286">
        <v>0</v>
      </c>
      <c r="G111" s="287"/>
      <c r="H111" s="286">
        <v>0</v>
      </c>
      <c r="I111" s="28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</row>
    <row r="112" spans="1:25" ht="16.5" customHeight="1">
      <c r="A112" s="69" t="s">
        <v>197</v>
      </c>
      <c r="B112" s="286">
        <v>0</v>
      </c>
      <c r="C112" s="287"/>
      <c r="D112" s="286">
        <v>0</v>
      </c>
      <c r="E112" s="287"/>
      <c r="F112" s="286">
        <v>0</v>
      </c>
      <c r="G112" s="287"/>
      <c r="H112" s="286">
        <v>0</v>
      </c>
      <c r="I112" s="28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</row>
    <row r="113" spans="1:25" ht="17.25" customHeight="1">
      <c r="A113" s="69" t="s">
        <v>198</v>
      </c>
      <c r="B113" s="286">
        <v>0</v>
      </c>
      <c r="C113" s="287"/>
      <c r="D113" s="286">
        <v>5.6000000000000001E-2</v>
      </c>
      <c r="E113" s="287"/>
      <c r="F113" s="286">
        <v>0</v>
      </c>
      <c r="G113" s="287"/>
      <c r="H113" s="286">
        <v>0</v>
      </c>
      <c r="I113" s="28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</row>
    <row r="114" spans="1:25" ht="17.25" customHeight="1">
      <c r="A114" s="69" t="s">
        <v>199</v>
      </c>
      <c r="B114" s="286">
        <v>0</v>
      </c>
      <c r="C114" s="287"/>
      <c r="D114" s="286">
        <v>6.6000000000000003E-2</v>
      </c>
      <c r="E114" s="287"/>
      <c r="F114" s="286">
        <v>8.0000000000000002E-3</v>
      </c>
      <c r="G114" s="287"/>
      <c r="H114" s="286">
        <v>3.2500000000000001E-2</v>
      </c>
      <c r="I114" s="28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</row>
    <row r="115" spans="1:25" ht="18" customHeight="1">
      <c r="A115" s="69" t="s">
        <v>200</v>
      </c>
      <c r="B115" s="286">
        <v>0.66700000000000004</v>
      </c>
      <c r="C115" s="287"/>
      <c r="D115" s="286">
        <v>0</v>
      </c>
      <c r="E115" s="287"/>
      <c r="F115" s="286">
        <v>0</v>
      </c>
      <c r="G115" s="287"/>
      <c r="H115" s="286">
        <v>0</v>
      </c>
      <c r="I115" s="28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</row>
    <row r="116" spans="1:25" ht="18.75" customHeight="1">
      <c r="A116" s="69" t="s">
        <v>201</v>
      </c>
      <c r="B116" s="286">
        <v>0</v>
      </c>
      <c r="C116" s="287"/>
      <c r="D116" s="286">
        <v>0.375</v>
      </c>
      <c r="E116" s="287"/>
      <c r="F116" s="286">
        <v>0</v>
      </c>
      <c r="G116" s="287"/>
      <c r="H116" s="286">
        <v>0</v>
      </c>
      <c r="I116" s="28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</row>
    <row r="117" spans="1:25" ht="18" customHeight="1">
      <c r="A117" s="69" t="s">
        <v>202</v>
      </c>
      <c r="B117" s="286">
        <v>0</v>
      </c>
      <c r="C117" s="287"/>
      <c r="D117" s="286">
        <v>0</v>
      </c>
      <c r="E117" s="287"/>
      <c r="F117" s="286">
        <v>0.05</v>
      </c>
      <c r="G117" s="287"/>
      <c r="H117" s="286">
        <v>0</v>
      </c>
      <c r="I117" s="28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</row>
    <row r="118" spans="1:25" ht="18.75" customHeight="1">
      <c r="A118" s="69" t="s">
        <v>203</v>
      </c>
      <c r="B118" s="286">
        <v>0</v>
      </c>
      <c r="C118" s="287"/>
      <c r="D118" s="286">
        <v>0</v>
      </c>
      <c r="E118" s="287"/>
      <c r="F118" s="286">
        <v>0</v>
      </c>
      <c r="G118" s="287"/>
      <c r="H118" s="286">
        <v>0</v>
      </c>
      <c r="I118" s="28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</row>
    <row r="119" spans="1:25" ht="18" customHeight="1">
      <c r="A119" s="69" t="s">
        <v>204</v>
      </c>
      <c r="B119" s="286">
        <v>0.16700000000000001</v>
      </c>
      <c r="C119" s="287"/>
      <c r="D119" s="286">
        <v>8.3000000000000004E-2</v>
      </c>
      <c r="E119" s="287"/>
      <c r="F119" s="286">
        <v>0</v>
      </c>
      <c r="G119" s="287"/>
      <c r="H119" s="286">
        <v>0</v>
      </c>
      <c r="I119" s="28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</row>
    <row r="120" spans="1:25" ht="16.5" customHeight="1">
      <c r="A120" s="69" t="s">
        <v>205</v>
      </c>
      <c r="B120" s="286">
        <v>2.9000000000000001E-2</v>
      </c>
      <c r="C120" s="287"/>
      <c r="D120" s="286">
        <v>6.2E-2</v>
      </c>
      <c r="E120" s="287"/>
      <c r="F120" s="286">
        <v>4.9000000000000002E-2</v>
      </c>
      <c r="G120" s="287"/>
      <c r="H120" s="286">
        <v>6.3E-2</v>
      </c>
      <c r="I120" s="28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</row>
    <row r="121" spans="1:25" ht="18" customHeight="1">
      <c r="A121" s="69" t="s">
        <v>206</v>
      </c>
      <c r="B121" s="288">
        <v>0.03</v>
      </c>
      <c r="C121" s="289"/>
      <c r="D121" s="288">
        <v>4.5999999999999999E-2</v>
      </c>
      <c r="E121" s="289"/>
      <c r="F121" s="288">
        <v>1.4999999999999999E-2</v>
      </c>
      <c r="G121" s="289"/>
      <c r="H121" s="288">
        <v>1.35E-2</v>
      </c>
      <c r="I121" s="289"/>
      <c r="J121" s="268"/>
      <c r="K121" s="268"/>
      <c r="L121" s="268"/>
      <c r="M121" s="268"/>
      <c r="N121" s="268"/>
      <c r="O121" s="268"/>
      <c r="P121" s="268"/>
      <c r="Q121" s="268"/>
      <c r="R121" s="268"/>
      <c r="S121" s="268"/>
      <c r="T121" s="268"/>
      <c r="U121" s="268"/>
      <c r="V121" s="268"/>
      <c r="W121" s="268"/>
      <c r="X121" s="268"/>
      <c r="Y121" s="268"/>
    </row>
    <row r="122" spans="1:25">
      <c r="A122" s="263"/>
      <c r="B122" s="263"/>
      <c r="C122" s="263"/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</row>
    <row r="123" spans="1:25" ht="18" customHeight="1">
      <c r="A123" s="272" t="s">
        <v>207</v>
      </c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</row>
    <row r="124" spans="1:25" ht="18.75" customHeight="1">
      <c r="A124" s="272" t="s">
        <v>208</v>
      </c>
      <c r="B124" s="291" t="s">
        <v>4</v>
      </c>
      <c r="C124" s="291"/>
      <c r="D124" s="291" t="s">
        <v>5</v>
      </c>
      <c r="E124" s="291"/>
      <c r="F124" s="291" t="s">
        <v>6</v>
      </c>
      <c r="G124" s="291"/>
      <c r="H124" s="291" t="s">
        <v>7</v>
      </c>
      <c r="I124" s="291"/>
      <c r="J124" s="291" t="s">
        <v>8</v>
      </c>
      <c r="K124" s="291"/>
      <c r="L124" s="291" t="s">
        <v>9</v>
      </c>
      <c r="M124" s="291"/>
      <c r="N124" s="291" t="s">
        <v>10</v>
      </c>
      <c r="O124" s="291"/>
      <c r="P124" s="291" t="s">
        <v>11</v>
      </c>
      <c r="Q124" s="291"/>
      <c r="R124" s="291" t="s">
        <v>12</v>
      </c>
      <c r="S124" s="291"/>
      <c r="T124" s="291" t="s">
        <v>13</v>
      </c>
      <c r="U124" s="291"/>
      <c r="V124" s="291" t="s">
        <v>14</v>
      </c>
      <c r="W124" s="291"/>
      <c r="X124" s="291" t="s">
        <v>15</v>
      </c>
      <c r="Y124" s="291"/>
    </row>
    <row r="125" spans="1:25" ht="18" customHeight="1">
      <c r="A125" s="272"/>
      <c r="B125" s="291" t="s">
        <v>209</v>
      </c>
      <c r="C125" s="291"/>
      <c r="D125" s="291" t="s">
        <v>209</v>
      </c>
      <c r="E125" s="291" t="s">
        <v>210</v>
      </c>
      <c r="F125" s="291" t="s">
        <v>209</v>
      </c>
      <c r="G125" s="291" t="s">
        <v>210</v>
      </c>
      <c r="H125" s="291" t="s">
        <v>209</v>
      </c>
      <c r="I125" s="291" t="s">
        <v>210</v>
      </c>
      <c r="J125" s="291" t="s">
        <v>209</v>
      </c>
      <c r="K125" s="291" t="s">
        <v>210</v>
      </c>
      <c r="L125" s="291" t="s">
        <v>209</v>
      </c>
      <c r="M125" s="291" t="s">
        <v>210</v>
      </c>
      <c r="N125" s="291" t="s">
        <v>209</v>
      </c>
      <c r="O125" s="291" t="s">
        <v>210</v>
      </c>
      <c r="P125" s="291" t="s">
        <v>209</v>
      </c>
      <c r="Q125" s="291" t="s">
        <v>210</v>
      </c>
      <c r="R125" s="291" t="s">
        <v>209</v>
      </c>
      <c r="S125" s="291" t="s">
        <v>210</v>
      </c>
      <c r="T125" s="291" t="s">
        <v>209</v>
      </c>
      <c r="U125" s="291" t="s">
        <v>210</v>
      </c>
      <c r="V125" s="291" t="s">
        <v>209</v>
      </c>
      <c r="W125" s="291" t="s">
        <v>210</v>
      </c>
      <c r="X125" s="291" t="s">
        <v>209</v>
      </c>
      <c r="Y125" s="291" t="s">
        <v>210</v>
      </c>
    </row>
    <row r="126" spans="1:25" ht="32.25" customHeight="1">
      <c r="A126" s="272"/>
      <c r="B126" s="61" t="s">
        <v>211</v>
      </c>
      <c r="C126" s="61" t="s">
        <v>210</v>
      </c>
      <c r="D126" s="61" t="s">
        <v>211</v>
      </c>
      <c r="E126" s="61" t="s">
        <v>210</v>
      </c>
      <c r="F126" s="61" t="s">
        <v>211</v>
      </c>
      <c r="G126" s="61" t="s">
        <v>210</v>
      </c>
      <c r="H126" s="61" t="s">
        <v>211</v>
      </c>
      <c r="I126" s="61" t="s">
        <v>210</v>
      </c>
      <c r="J126" s="61" t="s">
        <v>211</v>
      </c>
      <c r="K126" s="61" t="s">
        <v>210</v>
      </c>
      <c r="L126" s="61" t="s">
        <v>211</v>
      </c>
      <c r="M126" s="61" t="s">
        <v>210</v>
      </c>
      <c r="N126" s="61" t="s">
        <v>211</v>
      </c>
      <c r="O126" s="61" t="s">
        <v>210</v>
      </c>
      <c r="P126" s="61" t="s">
        <v>211</v>
      </c>
      <c r="Q126" s="61" t="s">
        <v>210</v>
      </c>
      <c r="R126" s="61" t="s">
        <v>211</v>
      </c>
      <c r="S126" s="61" t="s">
        <v>210</v>
      </c>
      <c r="T126" s="61" t="s">
        <v>211</v>
      </c>
      <c r="U126" s="61" t="s">
        <v>210</v>
      </c>
      <c r="V126" s="61" t="s">
        <v>211</v>
      </c>
      <c r="W126" s="61" t="s">
        <v>210</v>
      </c>
      <c r="X126" s="61" t="s">
        <v>211</v>
      </c>
      <c r="Y126" s="61" t="s">
        <v>210</v>
      </c>
    </row>
    <row r="127" spans="1:25" ht="19.5" customHeight="1">
      <c r="A127" s="70" t="s">
        <v>194</v>
      </c>
      <c r="B127" s="215">
        <v>6.4000000000000001E-2</v>
      </c>
      <c r="C127" s="54">
        <v>0</v>
      </c>
      <c r="D127" s="215">
        <v>0.05</v>
      </c>
      <c r="E127" s="54">
        <v>0</v>
      </c>
      <c r="F127" s="215">
        <v>5.8999999999999997E-2</v>
      </c>
      <c r="G127" s="234">
        <v>0</v>
      </c>
      <c r="H127" s="215">
        <v>6.9400000000000003E-2</v>
      </c>
      <c r="I127" s="215">
        <v>0</v>
      </c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</row>
    <row r="128" spans="1:25" ht="18" customHeight="1">
      <c r="A128" s="70" t="s">
        <v>195</v>
      </c>
      <c r="B128" s="215">
        <v>9.1999999999999998E-2</v>
      </c>
      <c r="C128" s="54">
        <v>2.9399999999999999E-2</v>
      </c>
      <c r="D128" s="215">
        <v>8.5999999999999993E-2</v>
      </c>
      <c r="E128" s="55">
        <v>0.20130000000000001</v>
      </c>
      <c r="F128" s="215">
        <v>9.5000000000000001E-2</v>
      </c>
      <c r="G128" s="234">
        <v>0.1241</v>
      </c>
      <c r="H128" s="215">
        <v>8.7499999999999994E-2</v>
      </c>
      <c r="I128" s="215">
        <v>4.7100000000000003E-2</v>
      </c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ht="18" customHeight="1">
      <c r="A129" s="70" t="s">
        <v>196</v>
      </c>
      <c r="B129" s="215">
        <v>0</v>
      </c>
      <c r="C129" s="54">
        <v>1.6E-2</v>
      </c>
      <c r="D129" s="215">
        <v>0</v>
      </c>
      <c r="E129" s="54">
        <v>8.6900000000000005E-2</v>
      </c>
      <c r="F129" s="215">
        <v>0</v>
      </c>
      <c r="G129" s="234">
        <v>0</v>
      </c>
      <c r="H129" s="215">
        <v>0</v>
      </c>
      <c r="I129" s="215">
        <v>1.2E-2</v>
      </c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</row>
    <row r="130" spans="1:25" ht="20.25" customHeight="1">
      <c r="A130" s="70" t="s">
        <v>198</v>
      </c>
      <c r="B130" s="215">
        <v>1.0999999999999999E-2</v>
      </c>
      <c r="C130" s="55">
        <v>0</v>
      </c>
      <c r="D130" s="215">
        <v>0.03</v>
      </c>
      <c r="E130" s="55">
        <v>0</v>
      </c>
      <c r="F130" s="215">
        <v>3.2000000000000001E-2</v>
      </c>
      <c r="G130" s="234">
        <v>0</v>
      </c>
      <c r="H130" s="215">
        <v>1.44E-2</v>
      </c>
      <c r="I130" s="215">
        <v>0</v>
      </c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ht="18.75" customHeight="1">
      <c r="A131" s="70" t="s">
        <v>199</v>
      </c>
      <c r="B131" s="215">
        <v>2.3E-2</v>
      </c>
      <c r="C131" s="55">
        <v>0</v>
      </c>
      <c r="D131" s="215">
        <v>0.04</v>
      </c>
      <c r="E131" s="55">
        <v>0</v>
      </c>
      <c r="F131" s="215">
        <v>3.9E-2</v>
      </c>
      <c r="G131" s="234">
        <v>0</v>
      </c>
      <c r="H131" s="215">
        <v>3.3500000000000002E-2</v>
      </c>
      <c r="I131" s="215">
        <v>0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ht="18.75" customHeight="1">
      <c r="A132" s="70" t="s">
        <v>201</v>
      </c>
      <c r="B132" s="215">
        <v>3.5999999999999999E-3</v>
      </c>
      <c r="C132" s="55">
        <v>0</v>
      </c>
      <c r="D132" s="215">
        <v>2.1000000000000001E-2</v>
      </c>
      <c r="E132" s="55">
        <v>0</v>
      </c>
      <c r="F132" s="215">
        <v>6.3E-2</v>
      </c>
      <c r="G132" s="234">
        <v>0</v>
      </c>
      <c r="H132" s="215">
        <v>4.9399999999999999E-2</v>
      </c>
      <c r="I132" s="215">
        <v>0</v>
      </c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ht="18" customHeight="1">
      <c r="A133" s="70" t="s">
        <v>202</v>
      </c>
      <c r="B133" s="215">
        <v>1.7999999999999999E-2</v>
      </c>
      <c r="C133" s="55">
        <v>0</v>
      </c>
      <c r="D133" s="215">
        <v>0.04</v>
      </c>
      <c r="E133" s="55">
        <v>0</v>
      </c>
      <c r="F133" s="215">
        <v>2.5000000000000001E-2</v>
      </c>
      <c r="G133" s="234">
        <v>0</v>
      </c>
      <c r="H133" s="215">
        <v>2.8999999999999998E-3</v>
      </c>
      <c r="I133" s="215">
        <v>0</v>
      </c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ht="17.25" customHeight="1">
      <c r="A134" s="70" t="s">
        <v>203</v>
      </c>
      <c r="B134" s="215">
        <v>2.0000000000000001E-4</v>
      </c>
      <c r="C134" s="55">
        <v>0</v>
      </c>
      <c r="D134" s="215">
        <v>5.0000000000000001E-3</v>
      </c>
      <c r="E134" s="55">
        <v>0</v>
      </c>
      <c r="F134" s="215">
        <v>2.5000000000000001E-2</v>
      </c>
      <c r="G134" s="234">
        <v>0</v>
      </c>
      <c r="H134" s="215">
        <v>4.58E-2</v>
      </c>
      <c r="I134" s="215">
        <v>0</v>
      </c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ht="18" customHeight="1">
      <c r="A135" s="70" t="s">
        <v>204</v>
      </c>
      <c r="B135" s="215">
        <v>0.02</v>
      </c>
      <c r="C135" s="55">
        <v>0</v>
      </c>
      <c r="D135" s="215">
        <v>2.3E-2</v>
      </c>
      <c r="E135" s="55">
        <v>0</v>
      </c>
      <c r="F135" s="215">
        <v>1E-3</v>
      </c>
      <c r="G135" s="234">
        <v>0</v>
      </c>
      <c r="H135" s="215">
        <v>1.8200000000000001E-2</v>
      </c>
      <c r="I135" s="215">
        <v>0</v>
      </c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ht="17.25" customHeight="1">
      <c r="A136" s="69" t="s">
        <v>205</v>
      </c>
      <c r="B136" s="215">
        <v>4.2999999999999997E-2</v>
      </c>
      <c r="C136" s="55">
        <v>0</v>
      </c>
      <c r="D136" s="215">
        <v>4.2999999999999997E-2</v>
      </c>
      <c r="E136" s="55">
        <v>0</v>
      </c>
      <c r="F136" s="215">
        <v>4.7E-2</v>
      </c>
      <c r="G136" s="234">
        <v>0</v>
      </c>
      <c r="H136" s="215">
        <v>4.8300000000000003E-2</v>
      </c>
      <c r="I136" s="215">
        <v>0</v>
      </c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ht="19.5" customHeight="1">
      <c r="A137" s="70" t="s">
        <v>212</v>
      </c>
      <c r="B137" s="216">
        <v>6.3799999999999996E-2</v>
      </c>
      <c r="C137" s="75">
        <f>SUM(C127:C136)</f>
        <v>4.5399999999999996E-2</v>
      </c>
      <c r="D137" s="216">
        <v>5.9900000000000002E-2</v>
      </c>
      <c r="E137" s="75">
        <v>6.1100000000000002E-2</v>
      </c>
      <c r="F137" s="216">
        <v>0.04</v>
      </c>
      <c r="G137" s="235">
        <v>3.7699999999999997E-2</v>
      </c>
      <c r="H137" s="216">
        <v>3.6900000000000002E-2</v>
      </c>
      <c r="I137" s="242">
        <v>5.91E-2</v>
      </c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</row>
    <row r="138" spans="1:25">
      <c r="A138" s="263"/>
      <c r="B138" s="263"/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</row>
    <row r="139" spans="1:25" ht="15.45">
      <c r="A139" s="272" t="s">
        <v>213</v>
      </c>
      <c r="B139" s="272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</row>
    <row r="140" spans="1:25" ht="15.45">
      <c r="A140" s="64" t="s">
        <v>214</v>
      </c>
      <c r="B140" s="262" t="s">
        <v>4</v>
      </c>
      <c r="C140" s="262"/>
      <c r="D140" s="308" t="s">
        <v>5</v>
      </c>
      <c r="E140" s="308"/>
      <c r="F140" s="262" t="s">
        <v>6</v>
      </c>
      <c r="G140" s="262"/>
      <c r="H140" s="262" t="s">
        <v>7</v>
      </c>
      <c r="I140" s="262"/>
      <c r="J140" s="262" t="s">
        <v>8</v>
      </c>
      <c r="K140" s="262"/>
      <c r="L140" s="262" t="s">
        <v>9</v>
      </c>
      <c r="M140" s="262"/>
      <c r="N140" s="262" t="s">
        <v>10</v>
      </c>
      <c r="O140" s="262"/>
      <c r="P140" s="262" t="s">
        <v>11</v>
      </c>
      <c r="Q140" s="262"/>
      <c r="R140" s="262" t="s">
        <v>12</v>
      </c>
      <c r="S140" s="262"/>
      <c r="T140" s="262" t="s">
        <v>13</v>
      </c>
      <c r="U140" s="262" t="s">
        <v>13</v>
      </c>
      <c r="V140" s="262" t="s">
        <v>14</v>
      </c>
      <c r="W140" s="262" t="s">
        <v>14</v>
      </c>
      <c r="X140" s="262" t="s">
        <v>15</v>
      </c>
      <c r="Y140" s="262" t="s">
        <v>15</v>
      </c>
    </row>
    <row r="141" spans="1:25" ht="15.75" customHeight="1">
      <c r="A141" s="68" t="s">
        <v>215</v>
      </c>
      <c r="B141" s="256" t="s">
        <v>22</v>
      </c>
      <c r="C141" s="256"/>
      <c r="D141" s="309" t="s">
        <v>22</v>
      </c>
      <c r="E141" s="309"/>
      <c r="F141" s="256" t="s">
        <v>22</v>
      </c>
      <c r="G141" s="256"/>
      <c r="H141" s="256" t="s">
        <v>22</v>
      </c>
      <c r="I141" s="256"/>
      <c r="J141" s="256" t="s">
        <v>22</v>
      </c>
      <c r="K141" s="256"/>
      <c r="L141" s="256" t="s">
        <v>22</v>
      </c>
      <c r="M141" s="256"/>
      <c r="N141" s="256" t="s">
        <v>22</v>
      </c>
      <c r="O141" s="256"/>
      <c r="P141" s="256" t="s">
        <v>22</v>
      </c>
      <c r="Q141" s="256"/>
      <c r="R141" s="256" t="s">
        <v>22</v>
      </c>
      <c r="S141" s="256"/>
      <c r="T141" s="256" t="s">
        <v>22</v>
      </c>
      <c r="U141" s="256"/>
      <c r="V141" s="256" t="s">
        <v>22</v>
      </c>
      <c r="W141" s="256"/>
      <c r="X141" s="256" t="s">
        <v>22</v>
      </c>
      <c r="Y141" s="256"/>
    </row>
    <row r="142" spans="1:25" ht="15.65" customHeight="1">
      <c r="A142" s="64" t="s">
        <v>216</v>
      </c>
      <c r="B142" s="257" t="s">
        <v>22</v>
      </c>
      <c r="C142" s="257"/>
      <c r="D142" s="310" t="s">
        <v>22</v>
      </c>
      <c r="E142" s="310"/>
      <c r="F142" s="257" t="s">
        <v>22</v>
      </c>
      <c r="G142" s="257"/>
      <c r="H142" s="257" t="s">
        <v>22</v>
      </c>
      <c r="I142" s="257"/>
      <c r="J142" s="257" t="s">
        <v>22</v>
      </c>
      <c r="K142" s="257"/>
      <c r="L142" s="257" t="s">
        <v>22</v>
      </c>
      <c r="M142" s="257"/>
      <c r="N142" s="257" t="s">
        <v>22</v>
      </c>
      <c r="O142" s="257"/>
      <c r="P142" s="257" t="s">
        <v>22</v>
      </c>
      <c r="Q142" s="257"/>
      <c r="R142" s="257" t="s">
        <v>22</v>
      </c>
      <c r="S142" s="257"/>
      <c r="T142" s="257" t="s">
        <v>22</v>
      </c>
      <c r="U142" s="257"/>
      <c r="V142" s="257" t="s">
        <v>22</v>
      </c>
      <c r="W142" s="257"/>
      <c r="X142" s="257" t="s">
        <v>22</v>
      </c>
      <c r="Y142" s="257"/>
    </row>
    <row r="143" spans="1:25" ht="15.65" customHeight="1">
      <c r="A143" s="64" t="s">
        <v>217</v>
      </c>
      <c r="B143" s="258" t="s">
        <v>22</v>
      </c>
      <c r="C143" s="258"/>
      <c r="D143" s="305" t="s">
        <v>22</v>
      </c>
      <c r="E143" s="305"/>
      <c r="F143" s="258" t="s">
        <v>22</v>
      </c>
      <c r="G143" s="258"/>
      <c r="H143" s="258" t="s">
        <v>22</v>
      </c>
      <c r="I143" s="258"/>
      <c r="J143" s="258" t="s">
        <v>22</v>
      </c>
      <c r="K143" s="258"/>
      <c r="L143" s="258" t="s">
        <v>22</v>
      </c>
      <c r="M143" s="258"/>
      <c r="N143" s="258" t="s">
        <v>22</v>
      </c>
      <c r="O143" s="258"/>
      <c r="P143" s="258" t="s">
        <v>22</v>
      </c>
      <c r="Q143" s="258"/>
      <c r="R143" s="258" t="s">
        <v>22</v>
      </c>
      <c r="S143" s="258"/>
      <c r="T143" s="258" t="s">
        <v>22</v>
      </c>
      <c r="U143" s="258"/>
      <c r="V143" s="258" t="s">
        <v>22</v>
      </c>
      <c r="W143" s="258"/>
      <c r="X143" s="258" t="s">
        <v>22</v>
      </c>
      <c r="Y143" s="258"/>
    </row>
    <row r="144" spans="1:25" ht="15.45">
      <c r="A144" s="68" t="s">
        <v>218</v>
      </c>
      <c r="B144" s="259">
        <v>0.2286</v>
      </c>
      <c r="C144" s="259"/>
      <c r="D144" s="259">
        <f>(74+800)/(3566+389)</f>
        <v>0.22098609355246523</v>
      </c>
      <c r="E144" s="259"/>
      <c r="F144" s="259">
        <v>0.1903</v>
      </c>
      <c r="G144" s="259"/>
      <c r="H144" s="259">
        <v>0.1968</v>
      </c>
      <c r="I144" s="259"/>
      <c r="J144" s="259"/>
      <c r="K144" s="259"/>
      <c r="L144" s="259"/>
      <c r="M144" s="259"/>
      <c r="N144" s="259"/>
      <c r="O144" s="259"/>
      <c r="P144" s="259"/>
      <c r="Q144" s="259"/>
      <c r="R144" s="259"/>
      <c r="S144" s="259"/>
      <c r="T144" s="259"/>
      <c r="U144" s="259"/>
      <c r="V144" s="259"/>
      <c r="W144" s="259"/>
      <c r="X144" s="259"/>
      <c r="Y144" s="259"/>
    </row>
    <row r="145" spans="1:25" ht="15.65" customHeight="1">
      <c r="A145" s="64" t="s">
        <v>216</v>
      </c>
      <c r="B145" s="260">
        <v>0.25</v>
      </c>
      <c r="C145" s="261"/>
      <c r="D145" s="260">
        <v>0.22</v>
      </c>
      <c r="E145" s="261"/>
      <c r="F145" s="260">
        <v>0.1978</v>
      </c>
      <c r="G145" s="261"/>
      <c r="H145" s="260">
        <v>0.20039999999999999</v>
      </c>
      <c r="I145" s="261"/>
      <c r="J145" s="260"/>
      <c r="K145" s="261"/>
      <c r="L145" s="260"/>
      <c r="M145" s="261"/>
      <c r="N145" s="260"/>
      <c r="O145" s="261"/>
      <c r="P145" s="260"/>
      <c r="Q145" s="261"/>
      <c r="R145" s="260"/>
      <c r="S145" s="261"/>
      <c r="T145" s="260"/>
      <c r="U145" s="261"/>
      <c r="V145" s="260"/>
      <c r="W145" s="261"/>
      <c r="X145" s="260"/>
      <c r="Y145" s="261"/>
    </row>
    <row r="146" spans="1:25" ht="15.45">
      <c r="A146" s="64" t="s">
        <v>217</v>
      </c>
      <c r="B146" s="260">
        <v>0.11</v>
      </c>
      <c r="C146" s="261"/>
      <c r="D146" s="260">
        <v>0.19</v>
      </c>
      <c r="E146" s="261"/>
      <c r="F146" s="260">
        <v>0.127</v>
      </c>
      <c r="G146" s="261"/>
      <c r="H146" s="260">
        <v>0.1656</v>
      </c>
      <c r="I146" s="261"/>
      <c r="J146" s="260"/>
      <c r="K146" s="261"/>
      <c r="L146" s="260"/>
      <c r="M146" s="261"/>
      <c r="N146" s="260"/>
      <c r="O146" s="261"/>
      <c r="P146" s="260"/>
      <c r="Q146" s="261"/>
      <c r="R146" s="260"/>
      <c r="S146" s="261"/>
      <c r="T146" s="260"/>
      <c r="U146" s="261"/>
      <c r="V146" s="260"/>
      <c r="W146" s="261"/>
      <c r="X146" s="260"/>
      <c r="Y146" s="261"/>
    </row>
    <row r="147" spans="1:25">
      <c r="A147" s="304"/>
      <c r="B147" s="304"/>
      <c r="C147" s="304"/>
      <c r="D147" s="304"/>
      <c r="E147" s="304"/>
      <c r="F147" s="304"/>
      <c r="G147" s="304"/>
      <c r="H147" s="304"/>
      <c r="I147" s="304"/>
      <c r="J147" s="304"/>
      <c r="K147" s="304"/>
      <c r="L147" s="304"/>
      <c r="M147" s="304"/>
      <c r="N147" s="304"/>
      <c r="O147" s="304"/>
      <c r="P147" s="304"/>
      <c r="Q147" s="304"/>
      <c r="R147" s="304"/>
      <c r="S147" s="304"/>
      <c r="T147" s="304"/>
      <c r="U147" s="304"/>
      <c r="V147" s="304"/>
      <c r="W147" s="304"/>
      <c r="X147" s="304"/>
      <c r="Y147" s="304"/>
    </row>
    <row r="148" spans="1:25" ht="18.75" customHeight="1">
      <c r="A148" s="272" t="s">
        <v>219</v>
      </c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</row>
    <row r="149" spans="1:25" ht="18" customHeight="1">
      <c r="A149" s="311" t="s">
        <v>220</v>
      </c>
      <c r="B149" s="303" t="s">
        <v>4</v>
      </c>
      <c r="C149" s="303"/>
      <c r="D149" s="303" t="s">
        <v>5</v>
      </c>
      <c r="E149" s="303"/>
      <c r="F149" s="303" t="s">
        <v>6</v>
      </c>
      <c r="G149" s="303"/>
      <c r="H149" s="303" t="s">
        <v>7</v>
      </c>
      <c r="I149" s="303"/>
      <c r="J149" s="303" t="s">
        <v>8</v>
      </c>
      <c r="K149" s="303"/>
      <c r="L149" s="303" t="s">
        <v>9</v>
      </c>
      <c r="M149" s="303"/>
      <c r="N149" s="303" t="s">
        <v>10</v>
      </c>
      <c r="O149" s="303"/>
      <c r="P149" s="303" t="s">
        <v>11</v>
      </c>
      <c r="Q149" s="303"/>
      <c r="R149" s="303" t="s">
        <v>12</v>
      </c>
      <c r="S149" s="303"/>
      <c r="T149" s="303" t="s">
        <v>13</v>
      </c>
      <c r="U149" s="303"/>
      <c r="V149" s="303" t="s">
        <v>14</v>
      </c>
      <c r="W149" s="303"/>
      <c r="X149" s="303" t="s">
        <v>15</v>
      </c>
      <c r="Y149" s="303"/>
    </row>
    <row r="150" spans="1:25" ht="29.15" customHeight="1">
      <c r="A150" s="312"/>
      <c r="B150" s="62" t="s">
        <v>221</v>
      </c>
      <c r="C150" s="62" t="s">
        <v>222</v>
      </c>
      <c r="D150" s="62" t="s">
        <v>221</v>
      </c>
      <c r="E150" s="62" t="s">
        <v>222</v>
      </c>
      <c r="F150" s="62" t="s">
        <v>221</v>
      </c>
      <c r="G150" s="62" t="s">
        <v>222</v>
      </c>
      <c r="H150" s="62" t="s">
        <v>221</v>
      </c>
      <c r="I150" s="62" t="s">
        <v>222</v>
      </c>
      <c r="J150" s="62" t="s">
        <v>221</v>
      </c>
      <c r="K150" s="62" t="s">
        <v>222</v>
      </c>
      <c r="L150" s="62" t="s">
        <v>221</v>
      </c>
      <c r="M150" s="62" t="s">
        <v>222</v>
      </c>
      <c r="N150" s="62" t="s">
        <v>221</v>
      </c>
      <c r="O150" s="62" t="s">
        <v>222</v>
      </c>
      <c r="P150" s="62" t="s">
        <v>221</v>
      </c>
      <c r="Q150" s="62" t="s">
        <v>222</v>
      </c>
      <c r="R150" s="62" t="s">
        <v>221</v>
      </c>
      <c r="S150" s="62" t="s">
        <v>222</v>
      </c>
      <c r="T150" s="62" t="s">
        <v>221</v>
      </c>
      <c r="U150" s="62" t="s">
        <v>222</v>
      </c>
      <c r="V150" s="62" t="s">
        <v>221</v>
      </c>
      <c r="W150" s="62" t="s">
        <v>222</v>
      </c>
      <c r="X150" s="62" t="s">
        <v>221</v>
      </c>
      <c r="Y150" s="62" t="s">
        <v>222</v>
      </c>
    </row>
    <row r="151" spans="1:25" ht="19.5" customHeight="1">
      <c r="A151" s="79" t="s">
        <v>85</v>
      </c>
      <c r="B151" s="201">
        <v>0</v>
      </c>
      <c r="C151" s="58">
        <v>0.33333333333333331</v>
      </c>
      <c r="D151" s="226">
        <v>0</v>
      </c>
      <c r="E151" s="202">
        <v>0.5161290322580645</v>
      </c>
      <c r="F151" s="56">
        <v>0</v>
      </c>
      <c r="G151" s="59">
        <v>0.58974358974358976</v>
      </c>
      <c r="H151" s="240">
        <v>2.8571428571428571E-2</v>
      </c>
      <c r="I151" s="59">
        <v>0.38235294117647056</v>
      </c>
      <c r="J151" s="56"/>
      <c r="K151" s="56"/>
      <c r="L151" s="56"/>
      <c r="M151" s="56"/>
      <c r="N151" s="57"/>
      <c r="O151" s="57"/>
      <c r="P151" s="57"/>
      <c r="Q151" s="57"/>
      <c r="R151" s="58"/>
      <c r="S151" s="58"/>
      <c r="T151" s="91"/>
      <c r="U151" s="92"/>
      <c r="V151" s="123"/>
      <c r="W151" s="123"/>
      <c r="X151" s="92"/>
      <c r="Y151" s="92"/>
    </row>
    <row r="152" spans="1:25" ht="18.75" customHeight="1">
      <c r="A152" s="79" t="s">
        <v>81</v>
      </c>
      <c r="B152" s="202" t="s">
        <v>22</v>
      </c>
      <c r="C152" s="58" t="s">
        <v>22</v>
      </c>
      <c r="D152" s="226" t="s">
        <v>22</v>
      </c>
      <c r="E152" s="202" t="s">
        <v>22</v>
      </c>
      <c r="F152" s="59" t="s">
        <v>22</v>
      </c>
      <c r="G152" s="59" t="s">
        <v>22</v>
      </c>
      <c r="H152" s="239" t="s">
        <v>22</v>
      </c>
      <c r="I152" s="59" t="s">
        <v>22</v>
      </c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44"/>
      <c r="U152" s="44"/>
      <c r="V152" s="122"/>
      <c r="W152" s="123"/>
      <c r="X152" s="44"/>
      <c r="Y152" s="44"/>
    </row>
    <row r="153" spans="1:25" ht="18.75" customHeight="1">
      <c r="A153" s="79" t="s">
        <v>76</v>
      </c>
      <c r="B153" s="202">
        <v>0</v>
      </c>
      <c r="C153" s="58">
        <v>0.47058823529411764</v>
      </c>
      <c r="D153" s="226">
        <v>0</v>
      </c>
      <c r="E153" s="202">
        <v>0.36585365853658536</v>
      </c>
      <c r="F153" s="56">
        <v>0</v>
      </c>
      <c r="G153" s="59">
        <v>0.26470588235294118</v>
      </c>
      <c r="H153" s="240">
        <v>9.375E-2</v>
      </c>
      <c r="I153" s="59">
        <v>0.41379310344827586</v>
      </c>
      <c r="J153" s="56"/>
      <c r="K153" s="56"/>
      <c r="L153" s="59"/>
      <c r="M153" s="59"/>
      <c r="N153" s="57"/>
      <c r="O153" s="57"/>
      <c r="P153" s="57"/>
      <c r="Q153" s="57"/>
      <c r="R153" s="58"/>
      <c r="S153" s="59"/>
      <c r="T153" s="91"/>
      <c r="U153" s="91"/>
      <c r="V153" s="123"/>
      <c r="W153" s="123"/>
      <c r="X153" s="92"/>
      <c r="Y153" s="92"/>
    </row>
    <row r="154" spans="1:25" ht="15">
      <c r="A154" s="79" t="s">
        <v>82</v>
      </c>
      <c r="B154" s="202" t="s">
        <v>22</v>
      </c>
      <c r="C154" s="58" t="s">
        <v>22</v>
      </c>
      <c r="D154" s="226" t="s">
        <v>22</v>
      </c>
      <c r="E154" s="202" t="s">
        <v>22</v>
      </c>
      <c r="F154" s="59" t="s">
        <v>22</v>
      </c>
      <c r="G154" s="59" t="s">
        <v>22</v>
      </c>
      <c r="H154" s="239" t="s">
        <v>22</v>
      </c>
      <c r="I154" s="59" t="s">
        <v>22</v>
      </c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44"/>
      <c r="U154" s="44"/>
      <c r="V154" s="122"/>
      <c r="W154" s="123"/>
      <c r="X154" s="44"/>
      <c r="Y154" s="44"/>
    </row>
    <row r="155" spans="1:25" ht="15">
      <c r="A155" s="79" t="s">
        <v>83</v>
      </c>
      <c r="B155" s="202" t="s">
        <v>22</v>
      </c>
      <c r="C155" s="58" t="s">
        <v>22</v>
      </c>
      <c r="D155" s="226" t="s">
        <v>22</v>
      </c>
      <c r="E155" s="202" t="s">
        <v>22</v>
      </c>
      <c r="F155" s="59" t="s">
        <v>22</v>
      </c>
      <c r="G155" s="59" t="s">
        <v>22</v>
      </c>
      <c r="H155" s="239" t="s">
        <v>22</v>
      </c>
      <c r="I155" s="59" t="s">
        <v>22</v>
      </c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44"/>
      <c r="U155" s="44"/>
      <c r="V155" s="122"/>
      <c r="W155" s="123"/>
      <c r="X155" s="44"/>
      <c r="Y155" s="44"/>
    </row>
    <row r="156" spans="1:25" ht="18" customHeight="1">
      <c r="A156" s="79" t="s">
        <v>87</v>
      </c>
      <c r="B156" s="202">
        <v>0</v>
      </c>
      <c r="C156" s="58">
        <v>0</v>
      </c>
      <c r="D156" s="226">
        <v>0</v>
      </c>
      <c r="E156" s="202">
        <v>0</v>
      </c>
      <c r="F156" s="59">
        <v>0</v>
      </c>
      <c r="G156" s="59">
        <v>0</v>
      </c>
      <c r="H156" s="239">
        <v>0</v>
      </c>
      <c r="I156" s="59">
        <v>0</v>
      </c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44"/>
      <c r="U156" s="44"/>
      <c r="V156" s="44"/>
      <c r="W156" s="44"/>
      <c r="X156" s="44"/>
      <c r="Y156" s="44"/>
    </row>
    <row r="157" spans="1:25" ht="15">
      <c r="A157" s="79" t="s">
        <v>223</v>
      </c>
      <c r="B157" s="202">
        <v>7.9365079365079361E-3</v>
      </c>
      <c r="C157" s="58">
        <v>0.248</v>
      </c>
      <c r="D157" s="226">
        <v>0</v>
      </c>
      <c r="E157" s="202">
        <v>0.23015873015873015</v>
      </c>
      <c r="F157" s="56">
        <v>0</v>
      </c>
      <c r="G157" s="59">
        <v>0.30519480519480519</v>
      </c>
      <c r="H157" s="240">
        <v>0</v>
      </c>
      <c r="I157" s="59">
        <v>0.25396825396825395</v>
      </c>
      <c r="J157" s="56"/>
      <c r="K157" s="56"/>
      <c r="L157" s="56"/>
      <c r="M157" s="56"/>
      <c r="N157" s="20"/>
      <c r="O157" s="20"/>
      <c r="P157" s="57"/>
      <c r="Q157" s="56"/>
      <c r="R157" s="57"/>
      <c r="S157" s="59"/>
      <c r="T157" s="91"/>
      <c r="U157" s="91"/>
      <c r="V157" s="123"/>
      <c r="W157" s="123"/>
      <c r="X157" s="92"/>
      <c r="Y157" s="92"/>
    </row>
    <row r="158" spans="1:25" ht="18" customHeight="1">
      <c r="A158" s="79" t="s">
        <v>224</v>
      </c>
      <c r="B158" s="202">
        <v>0</v>
      </c>
      <c r="C158" s="58">
        <v>0.53488372093023251</v>
      </c>
      <c r="D158" s="226">
        <v>0</v>
      </c>
      <c r="E158" s="202">
        <v>0.35714285714285715</v>
      </c>
      <c r="F158" s="56">
        <v>0</v>
      </c>
      <c r="G158" s="59">
        <v>0.54385964912280704</v>
      </c>
      <c r="H158" s="240">
        <v>0</v>
      </c>
      <c r="I158" s="59">
        <v>0.51351351351351349</v>
      </c>
      <c r="J158" s="56"/>
      <c r="K158" s="56"/>
      <c r="L158" s="56"/>
      <c r="M158" s="56"/>
      <c r="N158" s="57"/>
      <c r="O158" s="57"/>
      <c r="P158" s="57"/>
      <c r="Q158" s="57"/>
      <c r="R158" s="57"/>
      <c r="S158" s="59"/>
      <c r="T158" s="91"/>
      <c r="U158" s="91"/>
      <c r="V158" s="123"/>
      <c r="W158" s="123"/>
      <c r="X158" s="92"/>
      <c r="Y158" s="92"/>
    </row>
    <row r="159" spans="1:25" ht="15">
      <c r="A159" s="79" t="s">
        <v>225</v>
      </c>
      <c r="B159" s="202">
        <v>3.3898305084745763E-2</v>
      </c>
      <c r="C159" s="58">
        <v>0.35087719298245612</v>
      </c>
      <c r="D159" s="226">
        <v>0</v>
      </c>
      <c r="E159" s="202">
        <v>0.26923076923076922</v>
      </c>
      <c r="F159" s="56">
        <v>0.10204081632653061</v>
      </c>
      <c r="G159" s="59">
        <v>0.40909090909090912</v>
      </c>
      <c r="H159" s="240">
        <v>0</v>
      </c>
      <c r="I159" s="59">
        <v>0.22222222222222221</v>
      </c>
      <c r="J159" s="56"/>
      <c r="K159" s="56"/>
      <c r="L159" s="56"/>
      <c r="M159" s="56"/>
      <c r="N159" s="57"/>
      <c r="O159" s="57"/>
      <c r="P159" s="57"/>
      <c r="Q159" s="57"/>
      <c r="R159" s="58"/>
      <c r="S159" s="59"/>
      <c r="T159" s="91"/>
      <c r="U159" s="92"/>
      <c r="V159" s="123"/>
      <c r="W159" s="123"/>
      <c r="X159" s="92"/>
      <c r="Y159" s="92"/>
    </row>
    <row r="160" spans="1:25" ht="15.45">
      <c r="A160" s="79" t="s">
        <v>206</v>
      </c>
      <c r="B160" s="203">
        <v>1.1278195488721804E-2</v>
      </c>
      <c r="C160" s="73">
        <v>0.33840304182509506</v>
      </c>
      <c r="D160" s="227">
        <v>0</v>
      </c>
      <c r="E160" s="203">
        <v>0.29924242424242425</v>
      </c>
      <c r="F160" s="74">
        <v>1.5015015015015015E-2</v>
      </c>
      <c r="G160" s="74">
        <v>0.3902439024390244</v>
      </c>
      <c r="H160" s="241">
        <v>3.5900000000000001E-2</v>
      </c>
      <c r="I160" s="74">
        <v>0.32848837209302323</v>
      </c>
      <c r="J160" s="72"/>
      <c r="K160" s="72"/>
      <c r="L160" s="72"/>
      <c r="M160" s="72"/>
      <c r="N160" s="71"/>
      <c r="O160" s="71"/>
      <c r="P160" s="71"/>
      <c r="Q160" s="71"/>
      <c r="R160" s="73"/>
      <c r="S160" s="74"/>
      <c r="T160" s="93"/>
      <c r="U160" s="93"/>
      <c r="V160" s="128"/>
      <c r="W160" s="128"/>
      <c r="X160" s="93"/>
      <c r="Y160" s="93"/>
    </row>
    <row r="161" spans="2:9">
      <c r="H161" s="238"/>
    </row>
    <row r="162" spans="2:9" s="60" customFormat="1" ht="15">
      <c r="B162" s="9"/>
      <c r="C162" s="9"/>
      <c r="D162" s="9"/>
      <c r="E162" s="9"/>
      <c r="F162" s="9" t="s">
        <v>116</v>
      </c>
      <c r="G162" s="9"/>
      <c r="H162" s="9"/>
    </row>
    <row r="163" spans="2:9" ht="15">
      <c r="B163" s="17"/>
      <c r="C163" s="17"/>
      <c r="D163" s="17"/>
      <c r="E163" s="17"/>
      <c r="F163" s="17"/>
      <c r="G163" s="17"/>
      <c r="H163" s="17"/>
      <c r="I163" s="17"/>
    </row>
    <row r="164" spans="2:9" ht="15">
      <c r="B164" s="17"/>
      <c r="C164" s="17"/>
      <c r="D164" s="17"/>
      <c r="E164" s="17"/>
      <c r="F164" s="17"/>
      <c r="G164" s="17"/>
      <c r="H164" s="17"/>
      <c r="I164" s="17"/>
    </row>
    <row r="165" spans="2:9" ht="15">
      <c r="B165" s="17"/>
      <c r="C165" s="17"/>
      <c r="D165" s="17"/>
      <c r="E165" s="17"/>
      <c r="F165" s="17"/>
      <c r="G165" s="17"/>
      <c r="H165" s="17"/>
      <c r="I165" s="17"/>
    </row>
    <row r="166" spans="2:9" ht="15">
      <c r="B166" s="17"/>
      <c r="C166" s="17"/>
      <c r="D166" s="17"/>
      <c r="E166" s="17"/>
      <c r="F166" s="17"/>
      <c r="G166" s="17"/>
      <c r="H166" s="17"/>
      <c r="I166" s="17"/>
    </row>
    <row r="167" spans="2:9" ht="15">
      <c r="B167" s="17"/>
      <c r="C167" s="17"/>
      <c r="D167" s="18"/>
      <c r="E167" s="18"/>
      <c r="F167" s="18"/>
      <c r="G167" s="18"/>
      <c r="H167" s="18"/>
      <c r="I167" s="17"/>
    </row>
    <row r="168" spans="2:9" ht="15" customHeight="1">
      <c r="B168" s="313" t="s">
        <v>117</v>
      </c>
      <c r="C168" s="313"/>
      <c r="D168" s="313"/>
      <c r="E168" s="313"/>
      <c r="F168" s="313"/>
      <c r="G168" s="313"/>
      <c r="H168" s="313"/>
      <c r="I168" s="313"/>
    </row>
    <row r="169" spans="2:9" ht="15" customHeight="1">
      <c r="B169" s="313" t="s">
        <v>118</v>
      </c>
      <c r="C169" s="313"/>
      <c r="D169" s="313"/>
      <c r="E169" s="313"/>
      <c r="F169" s="313"/>
      <c r="G169" s="313"/>
      <c r="H169" s="313"/>
      <c r="I169" s="313"/>
    </row>
    <row r="170" spans="2:9" ht="15" customHeight="1">
      <c r="B170" s="313" t="s">
        <v>119</v>
      </c>
      <c r="C170" s="313"/>
      <c r="D170" s="313"/>
      <c r="E170" s="313"/>
      <c r="F170" s="313"/>
      <c r="G170" s="313"/>
      <c r="H170" s="313"/>
      <c r="I170" s="313"/>
    </row>
  </sheetData>
  <mergeCells count="1397">
    <mergeCell ref="B89:C89"/>
    <mergeCell ref="B90:C90"/>
    <mergeCell ref="B91:C91"/>
    <mergeCell ref="B92:C92"/>
    <mergeCell ref="B93:C93"/>
    <mergeCell ref="B94:C94"/>
    <mergeCell ref="B95:C95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70:C70"/>
    <mergeCell ref="B71:C71"/>
    <mergeCell ref="B72:C72"/>
    <mergeCell ref="B73:C73"/>
    <mergeCell ref="A149:A150"/>
    <mergeCell ref="B168:I168"/>
    <mergeCell ref="B169:I169"/>
    <mergeCell ref="B170:I170"/>
    <mergeCell ref="P124:Q124"/>
    <mergeCell ref="N138:Y138"/>
    <mergeCell ref="R124:S124"/>
    <mergeCell ref="R125:S125"/>
    <mergeCell ref="T124:U124"/>
    <mergeCell ref="T125:U125"/>
    <mergeCell ref="X124:Y124"/>
    <mergeCell ref="X125:Y125"/>
    <mergeCell ref="N124:O124"/>
    <mergeCell ref="N125:O125"/>
    <mergeCell ref="P125:Q125"/>
    <mergeCell ref="P140:Q140"/>
    <mergeCell ref="F124:G124"/>
    <mergeCell ref="F125:G125"/>
    <mergeCell ref="H124:I124"/>
    <mergeCell ref="H125:I125"/>
    <mergeCell ref="D145:E145"/>
    <mergeCell ref="D146:E146"/>
    <mergeCell ref="F143:G143"/>
    <mergeCell ref="V124:W124"/>
    <mergeCell ref="V125:W125"/>
    <mergeCell ref="L124:M124"/>
    <mergeCell ref="L125:M125"/>
    <mergeCell ref="P142:Q142"/>
    <mergeCell ref="P143:Q143"/>
    <mergeCell ref="P144:Q144"/>
    <mergeCell ref="P145:Q145"/>
    <mergeCell ref="T140:U140"/>
    <mergeCell ref="B96:C96"/>
    <mergeCell ref="B97:C97"/>
    <mergeCell ref="B98:C98"/>
    <mergeCell ref="B87:C87"/>
    <mergeCell ref="B88:C88"/>
    <mergeCell ref="F144:G144"/>
    <mergeCell ref="F145:G145"/>
    <mergeCell ref="D140:E140"/>
    <mergeCell ref="D141:E141"/>
    <mergeCell ref="D142:E142"/>
    <mergeCell ref="H145:I145"/>
    <mergeCell ref="H146:I146"/>
    <mergeCell ref="J140:K140"/>
    <mergeCell ref="J141:K141"/>
    <mergeCell ref="J142:K142"/>
    <mergeCell ref="A124:A126"/>
    <mergeCell ref="B124:C124"/>
    <mergeCell ref="B125:C125"/>
    <mergeCell ref="J124:K124"/>
    <mergeCell ref="J125:K125"/>
    <mergeCell ref="J143:K143"/>
    <mergeCell ref="J144:K144"/>
    <mergeCell ref="J145:K145"/>
    <mergeCell ref="J146:K146"/>
    <mergeCell ref="H140:I140"/>
    <mergeCell ref="H141:I141"/>
    <mergeCell ref="H142:I142"/>
    <mergeCell ref="H143:I143"/>
    <mergeCell ref="H144:I144"/>
    <mergeCell ref="D115:E115"/>
    <mergeCell ref="D116:E116"/>
    <mergeCell ref="D117:E117"/>
    <mergeCell ref="A5:Y5"/>
    <mergeCell ref="A3:Y3"/>
    <mergeCell ref="A2:Y2"/>
    <mergeCell ref="A1:Y1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  <mergeCell ref="A138:M138"/>
    <mergeCell ref="B149:C149"/>
    <mergeCell ref="D149:E149"/>
    <mergeCell ref="F149:G149"/>
    <mergeCell ref="H149:I149"/>
    <mergeCell ref="J149:K149"/>
    <mergeCell ref="B145:C145"/>
    <mergeCell ref="B146:C146"/>
    <mergeCell ref="D143:E143"/>
    <mergeCell ref="D144:E144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A122:Y122"/>
    <mergeCell ref="A123:Y12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6:E6"/>
    <mergeCell ref="D7:E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J11:K11"/>
    <mergeCell ref="J12:K12"/>
    <mergeCell ref="J13:K13"/>
    <mergeCell ref="J14:K14"/>
    <mergeCell ref="J15:K15"/>
    <mergeCell ref="J6:K6"/>
    <mergeCell ref="J7:K7"/>
    <mergeCell ref="J8:K8"/>
    <mergeCell ref="J9:K9"/>
    <mergeCell ref="J10:K10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N11:O11"/>
    <mergeCell ref="N12:O12"/>
    <mergeCell ref="N13:O13"/>
    <mergeCell ref="N14:O14"/>
    <mergeCell ref="N15:O15"/>
    <mergeCell ref="N6:O6"/>
    <mergeCell ref="N7:O7"/>
    <mergeCell ref="N8:O8"/>
    <mergeCell ref="N9:O9"/>
    <mergeCell ref="N10:O10"/>
    <mergeCell ref="T6:U6"/>
    <mergeCell ref="T7:U7"/>
    <mergeCell ref="T8:U8"/>
    <mergeCell ref="T9:U9"/>
    <mergeCell ref="T10:U10"/>
    <mergeCell ref="T12:U12"/>
    <mergeCell ref="T13:U13"/>
    <mergeCell ref="T14:U14"/>
    <mergeCell ref="T15:U15"/>
    <mergeCell ref="T16:U16"/>
    <mergeCell ref="T17:U17"/>
    <mergeCell ref="R11:S11"/>
    <mergeCell ref="R12:S12"/>
    <mergeCell ref="R13:S13"/>
    <mergeCell ref="R14:S14"/>
    <mergeCell ref="R15:S15"/>
    <mergeCell ref="R6:S6"/>
    <mergeCell ref="R7:S7"/>
    <mergeCell ref="R8:S8"/>
    <mergeCell ref="R9:S9"/>
    <mergeCell ref="R10:S10"/>
    <mergeCell ref="T11:U11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V11:W11"/>
    <mergeCell ref="V12:W12"/>
    <mergeCell ref="V13:W13"/>
    <mergeCell ref="V14:W14"/>
    <mergeCell ref="V15:W15"/>
    <mergeCell ref="V6:W6"/>
    <mergeCell ref="V7:W7"/>
    <mergeCell ref="V8:W8"/>
    <mergeCell ref="V9:W9"/>
    <mergeCell ref="V10:W10"/>
    <mergeCell ref="B30:C30"/>
    <mergeCell ref="B31:C31"/>
    <mergeCell ref="B34:C34"/>
    <mergeCell ref="B35:C35"/>
    <mergeCell ref="B36:C36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V16:W16"/>
    <mergeCell ref="V17:W17"/>
    <mergeCell ref="R16:S16"/>
    <mergeCell ref="R17:S17"/>
    <mergeCell ref="N16:O16"/>
    <mergeCell ref="N17:O17"/>
    <mergeCell ref="J16:K16"/>
    <mergeCell ref="J17:K17"/>
    <mergeCell ref="F16:G16"/>
    <mergeCell ref="F17:G17"/>
    <mergeCell ref="F30:G30"/>
    <mergeCell ref="F31:G31"/>
    <mergeCell ref="F34:G34"/>
    <mergeCell ref="F35:G35"/>
    <mergeCell ref="F36:G36"/>
    <mergeCell ref="F25:G25"/>
    <mergeCell ref="F26:G26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8:C48"/>
    <mergeCell ref="B37:C37"/>
    <mergeCell ref="B38:C38"/>
    <mergeCell ref="B39:C39"/>
    <mergeCell ref="B40:C40"/>
    <mergeCell ref="B41:C41"/>
    <mergeCell ref="B61:C61"/>
    <mergeCell ref="B62:C62"/>
    <mergeCell ref="B63:C63"/>
    <mergeCell ref="B64:C64"/>
    <mergeCell ref="B101:C101"/>
    <mergeCell ref="B102:C102"/>
    <mergeCell ref="B83:C83"/>
    <mergeCell ref="B84:C84"/>
    <mergeCell ref="B85:C85"/>
    <mergeCell ref="B86:C86"/>
    <mergeCell ref="B120:C120"/>
    <mergeCell ref="B121:C121"/>
    <mergeCell ref="B140:C140"/>
    <mergeCell ref="B141:C141"/>
    <mergeCell ref="B144:C144"/>
    <mergeCell ref="B142:C142"/>
    <mergeCell ref="B143:C143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65:C65"/>
    <mergeCell ref="B66:C66"/>
    <mergeCell ref="B67:C67"/>
    <mergeCell ref="B68:C68"/>
    <mergeCell ref="B69:C69"/>
    <mergeCell ref="D37:E37"/>
    <mergeCell ref="D38:E38"/>
    <mergeCell ref="D39:E39"/>
    <mergeCell ref="D40:E40"/>
    <mergeCell ref="D41:E41"/>
    <mergeCell ref="D30:E30"/>
    <mergeCell ref="D31:E31"/>
    <mergeCell ref="D34:E34"/>
    <mergeCell ref="D35:E35"/>
    <mergeCell ref="D36:E36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8:E48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118:E118"/>
    <mergeCell ref="D119:E119"/>
    <mergeCell ref="D110:E110"/>
    <mergeCell ref="D111:E111"/>
    <mergeCell ref="D112:E112"/>
    <mergeCell ref="D113:E113"/>
    <mergeCell ref="D114:E114"/>
    <mergeCell ref="D103:E103"/>
    <mergeCell ref="D104:E104"/>
    <mergeCell ref="D105:E105"/>
    <mergeCell ref="D108:E108"/>
    <mergeCell ref="D109:E109"/>
    <mergeCell ref="D124:E124"/>
    <mergeCell ref="D125:E125"/>
    <mergeCell ref="F27:G27"/>
    <mergeCell ref="F28:G28"/>
    <mergeCell ref="F29:G29"/>
    <mergeCell ref="F42:G42"/>
    <mergeCell ref="F43:G43"/>
    <mergeCell ref="F44:G44"/>
    <mergeCell ref="F45:G45"/>
    <mergeCell ref="F48:G48"/>
    <mergeCell ref="F37:G37"/>
    <mergeCell ref="F38:G38"/>
    <mergeCell ref="F39:G39"/>
    <mergeCell ref="F40:G40"/>
    <mergeCell ref="F41:G41"/>
    <mergeCell ref="F76:G76"/>
    <mergeCell ref="F77:G77"/>
    <mergeCell ref="F78:G78"/>
    <mergeCell ref="F79:G79"/>
    <mergeCell ref="F80:G80"/>
    <mergeCell ref="F20:G20"/>
    <mergeCell ref="F21:G21"/>
    <mergeCell ref="F22:G22"/>
    <mergeCell ref="F23:G23"/>
    <mergeCell ref="F24:G24"/>
    <mergeCell ref="D120:E120"/>
    <mergeCell ref="D121:E121"/>
    <mergeCell ref="D96:E96"/>
    <mergeCell ref="D97:E97"/>
    <mergeCell ref="D98:E98"/>
    <mergeCell ref="D101:E101"/>
    <mergeCell ref="D102:E102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96:G96"/>
    <mergeCell ref="F97:G97"/>
    <mergeCell ref="F98:G98"/>
    <mergeCell ref="F101:G101"/>
    <mergeCell ref="F102:G102"/>
    <mergeCell ref="F91:G91"/>
    <mergeCell ref="F92:G92"/>
    <mergeCell ref="F93:G93"/>
    <mergeCell ref="F94:G94"/>
    <mergeCell ref="F95:G95"/>
    <mergeCell ref="F86:G86"/>
    <mergeCell ref="F87:G87"/>
    <mergeCell ref="F88:G88"/>
    <mergeCell ref="F89:G89"/>
    <mergeCell ref="F90:G90"/>
    <mergeCell ref="F81:G81"/>
    <mergeCell ref="F82:G82"/>
    <mergeCell ref="F83:G83"/>
    <mergeCell ref="F84:G84"/>
    <mergeCell ref="F85:G8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3:G103"/>
    <mergeCell ref="F104:G104"/>
    <mergeCell ref="F105:G105"/>
    <mergeCell ref="F108:G108"/>
    <mergeCell ref="F109:G109"/>
    <mergeCell ref="A106:Y106"/>
    <mergeCell ref="A107:Y107"/>
    <mergeCell ref="X108:Y108"/>
    <mergeCell ref="X109:Y109"/>
    <mergeCell ref="T108:U108"/>
    <mergeCell ref="T109:U109"/>
    <mergeCell ref="P108:Q108"/>
    <mergeCell ref="P109:Q109"/>
    <mergeCell ref="L108:M108"/>
    <mergeCell ref="L109:M109"/>
    <mergeCell ref="B103:C103"/>
    <mergeCell ref="B104:C104"/>
    <mergeCell ref="B105:C105"/>
    <mergeCell ref="B108:C108"/>
    <mergeCell ref="B109:C109"/>
    <mergeCell ref="P113:Q113"/>
    <mergeCell ref="P114:Q114"/>
    <mergeCell ref="L117:M117"/>
    <mergeCell ref="H61:I61"/>
    <mergeCell ref="H62:I62"/>
    <mergeCell ref="H63:I63"/>
    <mergeCell ref="H64:I64"/>
    <mergeCell ref="H65:I65"/>
    <mergeCell ref="H101:I101"/>
    <mergeCell ref="H102:I102"/>
    <mergeCell ref="H103:I103"/>
    <mergeCell ref="H104:I104"/>
    <mergeCell ref="H105:I105"/>
    <mergeCell ref="F146:G146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A139:Y139"/>
    <mergeCell ref="F120:G120"/>
    <mergeCell ref="F121:G121"/>
    <mergeCell ref="F140:G140"/>
    <mergeCell ref="F141:G141"/>
    <mergeCell ref="F142:G142"/>
    <mergeCell ref="F115:G115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J57:K57"/>
    <mergeCell ref="J48:K48"/>
    <mergeCell ref="J49:K49"/>
    <mergeCell ref="J50:K50"/>
    <mergeCell ref="J51:K51"/>
    <mergeCell ref="J52:K52"/>
    <mergeCell ref="H96:I96"/>
    <mergeCell ref="H97:I97"/>
    <mergeCell ref="H98:I98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60:Y60"/>
    <mergeCell ref="J61:K61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N58:O58"/>
    <mergeCell ref="P58:Q58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P48:Q48"/>
    <mergeCell ref="P49:Q49"/>
    <mergeCell ref="P50:Q50"/>
    <mergeCell ref="P51:Q51"/>
    <mergeCell ref="J58:K58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J53:K53"/>
    <mergeCell ref="J54:K54"/>
    <mergeCell ref="J55:K55"/>
    <mergeCell ref="J56:K56"/>
    <mergeCell ref="R58:S58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P57:Q5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P52:Q52"/>
    <mergeCell ref="P53:Q53"/>
    <mergeCell ref="P54:Q54"/>
    <mergeCell ref="P55:Q55"/>
    <mergeCell ref="P56:Q56"/>
    <mergeCell ref="V58:W58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V53:W53"/>
    <mergeCell ref="V54:W54"/>
    <mergeCell ref="V55:W55"/>
    <mergeCell ref="V56:W56"/>
    <mergeCell ref="V57:W57"/>
    <mergeCell ref="V48:W48"/>
    <mergeCell ref="V49:W49"/>
    <mergeCell ref="V50:W50"/>
    <mergeCell ref="V51:W51"/>
    <mergeCell ref="V52:W52"/>
    <mergeCell ref="H30:I30"/>
    <mergeCell ref="H31:I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P22:Q22"/>
    <mergeCell ref="P23:Q23"/>
    <mergeCell ref="P24:Q24"/>
    <mergeCell ref="L30:M30"/>
    <mergeCell ref="L31:M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V31:W31"/>
    <mergeCell ref="T25:U25"/>
    <mergeCell ref="T26:U26"/>
    <mergeCell ref="T27:U27"/>
    <mergeCell ref="T28:U28"/>
    <mergeCell ref="T29:U29"/>
    <mergeCell ref="T20:U20"/>
    <mergeCell ref="T21:U21"/>
    <mergeCell ref="T22:U22"/>
    <mergeCell ref="T23:U23"/>
    <mergeCell ref="T24:U24"/>
    <mergeCell ref="P30:Q30"/>
    <mergeCell ref="P31:Q31"/>
    <mergeCell ref="R20:S20"/>
    <mergeCell ref="P25:Q25"/>
    <mergeCell ref="P26:Q26"/>
    <mergeCell ref="P27:Q27"/>
    <mergeCell ref="P28:Q28"/>
    <mergeCell ref="P29:Q29"/>
    <mergeCell ref="P20:Q20"/>
    <mergeCell ref="P21:Q21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X30:Y30"/>
    <mergeCell ref="X31:Y31"/>
    <mergeCell ref="A18:Y18"/>
    <mergeCell ref="A19:Y19"/>
    <mergeCell ref="H34:I34"/>
    <mergeCell ref="L34:M34"/>
    <mergeCell ref="P34:Q34"/>
    <mergeCell ref="T34:U34"/>
    <mergeCell ref="X34:Y34"/>
    <mergeCell ref="X25:Y25"/>
    <mergeCell ref="X26:Y26"/>
    <mergeCell ref="X27:Y27"/>
    <mergeCell ref="X28:Y28"/>
    <mergeCell ref="X29:Y29"/>
    <mergeCell ref="X20:Y20"/>
    <mergeCell ref="X21:Y21"/>
    <mergeCell ref="X22:Y22"/>
    <mergeCell ref="X23:Y23"/>
    <mergeCell ref="X24:Y24"/>
    <mergeCell ref="T30:U30"/>
    <mergeCell ref="T31:U31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H45:I45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L45:M45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T44:U44"/>
    <mergeCell ref="T35:U35"/>
    <mergeCell ref="T36:U36"/>
    <mergeCell ref="T37:U37"/>
    <mergeCell ref="T38:U38"/>
    <mergeCell ref="T39:U39"/>
    <mergeCell ref="P45:Q45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P40:Q40"/>
    <mergeCell ref="P41:Q41"/>
    <mergeCell ref="P42:Q42"/>
    <mergeCell ref="P43:Q43"/>
    <mergeCell ref="P44:Q44"/>
    <mergeCell ref="P35:Q35"/>
    <mergeCell ref="P36:Q36"/>
    <mergeCell ref="P37:Q37"/>
    <mergeCell ref="P38:Q38"/>
    <mergeCell ref="P39:Q39"/>
    <mergeCell ref="X45:Y45"/>
    <mergeCell ref="A33:Y33"/>
    <mergeCell ref="A46:Y46"/>
    <mergeCell ref="A47:Y47"/>
    <mergeCell ref="A59:Y59"/>
    <mergeCell ref="X40:Y40"/>
    <mergeCell ref="X41:Y41"/>
    <mergeCell ref="X42:Y42"/>
    <mergeCell ref="X43:Y43"/>
    <mergeCell ref="X44:Y44"/>
    <mergeCell ref="X35:Y35"/>
    <mergeCell ref="X36:Y36"/>
    <mergeCell ref="X37:Y37"/>
    <mergeCell ref="X38:Y38"/>
    <mergeCell ref="X39:Y39"/>
    <mergeCell ref="T45:U45"/>
    <mergeCell ref="V34:W34"/>
    <mergeCell ref="V35:W35"/>
    <mergeCell ref="V36:W36"/>
    <mergeCell ref="V37:W37"/>
    <mergeCell ref="V38:W38"/>
    <mergeCell ref="V39:W39"/>
    <mergeCell ref="V40:W40"/>
    <mergeCell ref="V41:W41"/>
    <mergeCell ref="V42:W42"/>
    <mergeCell ref="V43:W43"/>
    <mergeCell ref="V44:W44"/>
    <mergeCell ref="V45:W45"/>
    <mergeCell ref="T40:U40"/>
    <mergeCell ref="T41:U41"/>
    <mergeCell ref="T42:U42"/>
    <mergeCell ref="T43:U43"/>
    <mergeCell ref="J78:K78"/>
    <mergeCell ref="J79:K79"/>
    <mergeCell ref="J80:K80"/>
    <mergeCell ref="J81:K81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2:K62"/>
    <mergeCell ref="J63:K63"/>
    <mergeCell ref="J64:K64"/>
    <mergeCell ref="J65:K65"/>
    <mergeCell ref="J66:K66"/>
    <mergeCell ref="J97:K97"/>
    <mergeCell ref="J98:K9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J92:K92"/>
    <mergeCell ref="J93:K93"/>
    <mergeCell ref="J94:K94"/>
    <mergeCell ref="J95:K95"/>
    <mergeCell ref="J96:K96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J77:K77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L90:M90"/>
    <mergeCell ref="L91:M91"/>
    <mergeCell ref="L92:M92"/>
    <mergeCell ref="L93:M93"/>
    <mergeCell ref="L94:M94"/>
    <mergeCell ref="L85:M85"/>
    <mergeCell ref="L86:M86"/>
    <mergeCell ref="L87:M87"/>
    <mergeCell ref="L88:M88"/>
    <mergeCell ref="L89:M89"/>
    <mergeCell ref="L80:M80"/>
    <mergeCell ref="L81:M81"/>
    <mergeCell ref="L82:M82"/>
    <mergeCell ref="L83:M83"/>
    <mergeCell ref="L84:M84"/>
    <mergeCell ref="L75:M75"/>
    <mergeCell ref="L76:M76"/>
    <mergeCell ref="L77:M77"/>
    <mergeCell ref="L78:M78"/>
    <mergeCell ref="L79:M79"/>
    <mergeCell ref="N85:O85"/>
    <mergeCell ref="N86:O86"/>
    <mergeCell ref="N87:O87"/>
    <mergeCell ref="N78:O78"/>
    <mergeCell ref="N79:O79"/>
    <mergeCell ref="N80:O80"/>
    <mergeCell ref="N81:O81"/>
    <mergeCell ref="N82:O82"/>
    <mergeCell ref="N73:O73"/>
    <mergeCell ref="N74:O74"/>
    <mergeCell ref="N75:O75"/>
    <mergeCell ref="N76:O76"/>
    <mergeCell ref="N77:O77"/>
    <mergeCell ref="L95:M95"/>
    <mergeCell ref="L96:M96"/>
    <mergeCell ref="L97:M97"/>
    <mergeCell ref="L98:M98"/>
    <mergeCell ref="P77:Q77"/>
    <mergeCell ref="P78:Q78"/>
    <mergeCell ref="P79:Q79"/>
    <mergeCell ref="P80:Q80"/>
    <mergeCell ref="N98:O98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N93:O93"/>
    <mergeCell ref="N94:O94"/>
    <mergeCell ref="N95:O95"/>
    <mergeCell ref="N96:O96"/>
    <mergeCell ref="N97:O97"/>
    <mergeCell ref="N88:O88"/>
    <mergeCell ref="N89:O89"/>
    <mergeCell ref="N90:O90"/>
    <mergeCell ref="N91:O91"/>
    <mergeCell ref="N92:O92"/>
    <mergeCell ref="N83:O83"/>
    <mergeCell ref="N84:O84"/>
    <mergeCell ref="P96:Q96"/>
    <mergeCell ref="P97:Q97"/>
    <mergeCell ref="P98:Q98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P91:Q91"/>
    <mergeCell ref="P92:Q92"/>
    <mergeCell ref="P93:Q93"/>
    <mergeCell ref="P94:Q94"/>
    <mergeCell ref="P95:Q95"/>
    <mergeCell ref="P86:Q86"/>
    <mergeCell ref="P87:Q87"/>
    <mergeCell ref="P88:Q88"/>
    <mergeCell ref="P89:Q89"/>
    <mergeCell ref="P90:Q90"/>
    <mergeCell ref="P81:Q81"/>
    <mergeCell ref="P82:Q82"/>
    <mergeCell ref="P83:Q83"/>
    <mergeCell ref="P84:Q84"/>
    <mergeCell ref="P85:Q85"/>
    <mergeCell ref="P76:Q76"/>
    <mergeCell ref="R96:S96"/>
    <mergeCell ref="R97:S97"/>
    <mergeCell ref="R98:S98"/>
    <mergeCell ref="R89:S89"/>
    <mergeCell ref="R90:S90"/>
    <mergeCell ref="R91:S91"/>
    <mergeCell ref="R92:S92"/>
    <mergeCell ref="R93:S93"/>
    <mergeCell ref="R84:S84"/>
    <mergeCell ref="R85:S85"/>
    <mergeCell ref="R86:S86"/>
    <mergeCell ref="R87:S87"/>
    <mergeCell ref="R88:S88"/>
    <mergeCell ref="R79:S79"/>
    <mergeCell ref="R80:S80"/>
    <mergeCell ref="R81:S81"/>
    <mergeCell ref="R82:S82"/>
    <mergeCell ref="R83:S83"/>
    <mergeCell ref="T61:U61"/>
    <mergeCell ref="T62:U62"/>
    <mergeCell ref="T63:U63"/>
    <mergeCell ref="T64:U64"/>
    <mergeCell ref="T65:U65"/>
    <mergeCell ref="R94:S94"/>
    <mergeCell ref="R95:S95"/>
    <mergeCell ref="R74:S74"/>
    <mergeCell ref="R75:S75"/>
    <mergeCell ref="R76:S76"/>
    <mergeCell ref="R77:S77"/>
    <mergeCell ref="R78:S78"/>
    <mergeCell ref="T94:U94"/>
    <mergeCell ref="T95:U95"/>
    <mergeCell ref="T86:U86"/>
    <mergeCell ref="T87:U87"/>
    <mergeCell ref="T88:U88"/>
    <mergeCell ref="T89:U89"/>
    <mergeCell ref="T90:U90"/>
    <mergeCell ref="T81:U81"/>
    <mergeCell ref="T82:U82"/>
    <mergeCell ref="T83:U83"/>
    <mergeCell ref="V82:W82"/>
    <mergeCell ref="V83:W83"/>
    <mergeCell ref="V74:W74"/>
    <mergeCell ref="V75:W75"/>
    <mergeCell ref="V76:W76"/>
    <mergeCell ref="V77:W77"/>
    <mergeCell ref="V78:W78"/>
    <mergeCell ref="T71:U71"/>
    <mergeCell ref="T72:U72"/>
    <mergeCell ref="T73:U73"/>
    <mergeCell ref="T74:U74"/>
    <mergeCell ref="T75:U75"/>
    <mergeCell ref="T66:U66"/>
    <mergeCell ref="T67:U67"/>
    <mergeCell ref="T68:U68"/>
    <mergeCell ref="T69:U69"/>
    <mergeCell ref="T70:U70"/>
    <mergeCell ref="T96:U96"/>
    <mergeCell ref="T97:U97"/>
    <mergeCell ref="T98:U98"/>
    <mergeCell ref="V61:W61"/>
    <mergeCell ref="V62:W62"/>
    <mergeCell ref="V63:W63"/>
    <mergeCell ref="V64:W64"/>
    <mergeCell ref="V65:W65"/>
    <mergeCell ref="V66:W66"/>
    <mergeCell ref="V67:W67"/>
    <mergeCell ref="V68:W68"/>
    <mergeCell ref="V69:W69"/>
    <mergeCell ref="V70:W70"/>
    <mergeCell ref="V71:W71"/>
    <mergeCell ref="V72:W72"/>
    <mergeCell ref="V73:W73"/>
    <mergeCell ref="T91:U91"/>
    <mergeCell ref="T92:U92"/>
    <mergeCell ref="T93:U93"/>
    <mergeCell ref="T84:U84"/>
    <mergeCell ref="T85:U85"/>
    <mergeCell ref="T76:U76"/>
    <mergeCell ref="T77:U77"/>
    <mergeCell ref="T78:U78"/>
    <mergeCell ref="T79:U79"/>
    <mergeCell ref="T80:U80"/>
    <mergeCell ref="V86:W86"/>
    <mergeCell ref="V87:W87"/>
    <mergeCell ref="V88:W88"/>
    <mergeCell ref="V79:W79"/>
    <mergeCell ref="V80:W80"/>
    <mergeCell ref="V81:W81"/>
    <mergeCell ref="X76:Y76"/>
    <mergeCell ref="X77:Y77"/>
    <mergeCell ref="X78:Y78"/>
    <mergeCell ref="X79:Y79"/>
    <mergeCell ref="X80:Y80"/>
    <mergeCell ref="X71:Y71"/>
    <mergeCell ref="X72:Y72"/>
    <mergeCell ref="X73:Y73"/>
    <mergeCell ref="X74:Y74"/>
    <mergeCell ref="X75:Y75"/>
    <mergeCell ref="X66:Y66"/>
    <mergeCell ref="X67:Y67"/>
    <mergeCell ref="X68:Y68"/>
    <mergeCell ref="X69:Y69"/>
    <mergeCell ref="X70:Y70"/>
    <mergeCell ref="X61:Y61"/>
    <mergeCell ref="X62:Y62"/>
    <mergeCell ref="X63:Y63"/>
    <mergeCell ref="X64:Y64"/>
    <mergeCell ref="X65:Y65"/>
    <mergeCell ref="X96:Y96"/>
    <mergeCell ref="X97:Y97"/>
    <mergeCell ref="X98:Y98"/>
    <mergeCell ref="A99:Y99"/>
    <mergeCell ref="A100:Y100"/>
    <mergeCell ref="X91:Y91"/>
    <mergeCell ref="X92:Y92"/>
    <mergeCell ref="X93:Y93"/>
    <mergeCell ref="X94:Y94"/>
    <mergeCell ref="X95:Y95"/>
    <mergeCell ref="X86:Y86"/>
    <mergeCell ref="X87:Y87"/>
    <mergeCell ref="X88:Y88"/>
    <mergeCell ref="X89:Y89"/>
    <mergeCell ref="X90:Y90"/>
    <mergeCell ref="X81:Y81"/>
    <mergeCell ref="X82:Y82"/>
    <mergeCell ref="X83:Y83"/>
    <mergeCell ref="X84:Y84"/>
    <mergeCell ref="X85:Y85"/>
    <mergeCell ref="V94:W94"/>
    <mergeCell ref="V95:W95"/>
    <mergeCell ref="V96:W96"/>
    <mergeCell ref="V97:W97"/>
    <mergeCell ref="V98:W98"/>
    <mergeCell ref="V89:W89"/>
    <mergeCell ref="V90:W90"/>
    <mergeCell ref="V91:W91"/>
    <mergeCell ref="V92:W92"/>
    <mergeCell ref="V93:W93"/>
    <mergeCell ref="V84:W84"/>
    <mergeCell ref="V85:W85"/>
    <mergeCell ref="P101:Q101"/>
    <mergeCell ref="P102:Q102"/>
    <mergeCell ref="P103:Q103"/>
    <mergeCell ref="P104:Q104"/>
    <mergeCell ref="P105:Q105"/>
    <mergeCell ref="N101:O101"/>
    <mergeCell ref="N102:O102"/>
    <mergeCell ref="N103:O103"/>
    <mergeCell ref="N104:O104"/>
    <mergeCell ref="N105:O105"/>
    <mergeCell ref="L101:M101"/>
    <mergeCell ref="L102:M102"/>
    <mergeCell ref="L103:M103"/>
    <mergeCell ref="L104:M104"/>
    <mergeCell ref="L105:M105"/>
    <mergeCell ref="J101:K101"/>
    <mergeCell ref="J102:K102"/>
    <mergeCell ref="J103:K103"/>
    <mergeCell ref="J104:K104"/>
    <mergeCell ref="J105:K105"/>
    <mergeCell ref="X101:Y101"/>
    <mergeCell ref="X102:Y102"/>
    <mergeCell ref="X103:Y103"/>
    <mergeCell ref="X104:Y104"/>
    <mergeCell ref="X105:Y105"/>
    <mergeCell ref="V101:W101"/>
    <mergeCell ref="V102:W102"/>
    <mergeCell ref="V103:W103"/>
    <mergeCell ref="V104:W104"/>
    <mergeCell ref="V105:W105"/>
    <mergeCell ref="T101:U101"/>
    <mergeCell ref="T102:U102"/>
    <mergeCell ref="T103:U103"/>
    <mergeCell ref="T104:U104"/>
    <mergeCell ref="T105:U105"/>
    <mergeCell ref="R101:S101"/>
    <mergeCell ref="R102:S102"/>
    <mergeCell ref="R103:S103"/>
    <mergeCell ref="R104:S104"/>
    <mergeCell ref="R105:S105"/>
    <mergeCell ref="L115:M115"/>
    <mergeCell ref="L116:M116"/>
    <mergeCell ref="L118:M118"/>
    <mergeCell ref="X120:Y120"/>
    <mergeCell ref="X121:Y121"/>
    <mergeCell ref="V108:W108"/>
    <mergeCell ref="V109:W109"/>
    <mergeCell ref="V110:W110"/>
    <mergeCell ref="V111:W111"/>
    <mergeCell ref="V112:W112"/>
    <mergeCell ref="V113:W113"/>
    <mergeCell ref="V114:W114"/>
    <mergeCell ref="V115:W115"/>
    <mergeCell ref="V116:W116"/>
    <mergeCell ref="V117:W117"/>
    <mergeCell ref="V118:W118"/>
    <mergeCell ref="V119:W119"/>
    <mergeCell ref="V120:W120"/>
    <mergeCell ref="V121:W121"/>
    <mergeCell ref="X115:Y115"/>
    <mergeCell ref="X116:Y116"/>
    <mergeCell ref="X117:Y117"/>
    <mergeCell ref="X118:Y118"/>
    <mergeCell ref="X119:Y119"/>
    <mergeCell ref="X110:Y110"/>
    <mergeCell ref="X111:Y111"/>
    <mergeCell ref="X112:Y112"/>
    <mergeCell ref="X113:Y113"/>
    <mergeCell ref="X114:Y114"/>
    <mergeCell ref="T120:U120"/>
    <mergeCell ref="T121:U121"/>
    <mergeCell ref="R108:S108"/>
    <mergeCell ref="R109:S109"/>
    <mergeCell ref="R110:S110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119:S119"/>
    <mergeCell ref="R120:S120"/>
    <mergeCell ref="R121:S121"/>
    <mergeCell ref="T115:U115"/>
    <mergeCell ref="T116:U116"/>
    <mergeCell ref="T117:U117"/>
    <mergeCell ref="T118:U118"/>
    <mergeCell ref="T119:U119"/>
    <mergeCell ref="T110:U110"/>
    <mergeCell ref="T111:U111"/>
    <mergeCell ref="T112:U112"/>
    <mergeCell ref="T113:U113"/>
    <mergeCell ref="T114:U114"/>
    <mergeCell ref="L119:M119"/>
    <mergeCell ref="L110:M110"/>
    <mergeCell ref="L111:M111"/>
    <mergeCell ref="L112:M112"/>
    <mergeCell ref="L113:M113"/>
    <mergeCell ref="L114:M114"/>
    <mergeCell ref="P120:Q120"/>
    <mergeCell ref="P121:Q121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P115:Q115"/>
    <mergeCell ref="P116:Q116"/>
    <mergeCell ref="P117:Q117"/>
    <mergeCell ref="P118:Q118"/>
    <mergeCell ref="P119:Q119"/>
    <mergeCell ref="P110:Q110"/>
    <mergeCell ref="P111:Q111"/>
    <mergeCell ref="P112:Q112"/>
    <mergeCell ref="L120:M120"/>
    <mergeCell ref="L121:M121"/>
    <mergeCell ref="A4:Y4"/>
    <mergeCell ref="A32:Y32"/>
    <mergeCell ref="T145:U145"/>
    <mergeCell ref="T146:U146"/>
    <mergeCell ref="V140:W140"/>
    <mergeCell ref="X140:Y140"/>
    <mergeCell ref="V141:W141"/>
    <mergeCell ref="X141:Y141"/>
    <mergeCell ref="V142:W142"/>
    <mergeCell ref="X142:Y142"/>
    <mergeCell ref="V143:W143"/>
    <mergeCell ref="X143:Y143"/>
    <mergeCell ref="V144:W144"/>
    <mergeCell ref="X144:Y144"/>
    <mergeCell ref="V145:W145"/>
    <mergeCell ref="X145:Y145"/>
    <mergeCell ref="V146:W146"/>
    <mergeCell ref="X146:Y146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T141:U141"/>
    <mergeCell ref="T142:U142"/>
    <mergeCell ref="T143:U143"/>
    <mergeCell ref="T144:U144"/>
    <mergeCell ref="P146:Q146"/>
    <mergeCell ref="R140:S140"/>
    <mergeCell ref="R141:S141"/>
    <mergeCell ref="R142:S142"/>
    <mergeCell ref="R143:S143"/>
    <mergeCell ref="R144:S144"/>
    <mergeCell ref="R145:S145"/>
    <mergeCell ref="R146:S146"/>
    <mergeCell ref="P141:Q141"/>
    <mergeCell ref="L145:M145"/>
    <mergeCell ref="L146:M146"/>
    <mergeCell ref="N140:O140"/>
    <mergeCell ref="N141:O141"/>
    <mergeCell ref="N142:O142"/>
    <mergeCell ref="N143:O143"/>
    <mergeCell ref="N144:O144"/>
    <mergeCell ref="N145:O145"/>
    <mergeCell ref="N146:O146"/>
    <mergeCell ref="L140:M140"/>
    <mergeCell ref="L141:M141"/>
    <mergeCell ref="L142:M142"/>
    <mergeCell ref="L143:M143"/>
    <mergeCell ref="L144:M144"/>
  </mergeCells>
  <pageMargins left="0.511811024" right="0.511811024" top="0.78740157499999996" bottom="0.78740157499999996" header="0.31496062000000002" footer="0.31496062000000002"/>
  <pageSetup paperSize="9" scale="3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Q62"/>
  <sheetViews>
    <sheetView topLeftCell="A10" zoomScale="60" zoomScaleNormal="60" workbookViewId="0">
      <pane xSplit="1" topLeftCell="B1" activePane="topRight" state="frozen"/>
      <selection activeCell="A4" sqref="A4"/>
      <selection pane="topRight" activeCell="G21" sqref="G21"/>
    </sheetView>
  </sheetViews>
  <sheetFormatPr defaultColWidth="9.15234375" defaultRowHeight="15" customHeight="1"/>
  <cols>
    <col min="1" max="1" width="61.84375" style="135" customWidth="1"/>
    <col min="2" max="2" width="13.3828125" style="166" customWidth="1"/>
    <col min="3" max="3" width="17.53515625" style="166" hidden="1" customWidth="1"/>
    <col min="4" max="4" width="16.69140625" style="190" bestFit="1" customWidth="1"/>
    <col min="5" max="6" width="17.3828125" style="190" customWidth="1"/>
    <col min="7" max="7" width="13" style="190" customWidth="1"/>
    <col min="8" max="8" width="9.15234375" style="157" customWidth="1"/>
    <col min="9" max="9" width="8.69140625" style="157" customWidth="1"/>
    <col min="10" max="10" width="8.3828125" style="157" customWidth="1"/>
    <col min="11" max="11" width="9" style="157" customWidth="1"/>
    <col min="12" max="12" width="10.53515625" style="157" customWidth="1"/>
    <col min="13" max="13" width="8.84375" style="157" customWidth="1"/>
    <col min="14" max="14" width="10.84375" style="157" customWidth="1"/>
    <col min="15" max="15" width="11.84375" style="157" customWidth="1"/>
    <col min="16" max="16" width="9.53515625" style="135" bestFit="1" customWidth="1"/>
    <col min="17" max="16384" width="9.15234375" style="135"/>
  </cols>
  <sheetData>
    <row r="1" spans="1:17" ht="69" customHeight="1">
      <c r="A1" s="164"/>
      <c r="B1" s="9"/>
      <c r="C1" s="9"/>
      <c r="D1" s="9"/>
      <c r="E1" s="9"/>
      <c r="F1" s="9"/>
      <c r="G1" s="9"/>
      <c r="H1" s="165"/>
      <c r="I1" s="165"/>
      <c r="J1" s="165"/>
      <c r="K1" s="165"/>
      <c r="L1" s="165"/>
      <c r="M1" s="165"/>
      <c r="N1" s="165"/>
      <c r="O1" s="165"/>
    </row>
    <row r="2" spans="1:17" ht="15.75" customHeight="1">
      <c r="A2" s="314" t="s">
        <v>0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7" ht="15.75" customHeight="1">
      <c r="A3" s="316" t="s">
        <v>226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</row>
    <row r="4" spans="1:17" ht="34.75">
      <c r="A4" s="66" t="s">
        <v>227</v>
      </c>
      <c r="B4" s="125" t="s">
        <v>228</v>
      </c>
      <c r="C4" s="218">
        <v>45992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14</v>
      </c>
      <c r="O4" s="13" t="s">
        <v>15</v>
      </c>
    </row>
    <row r="5" spans="1:17" ht="24" customHeight="1">
      <c r="A5" s="136" t="s">
        <v>229</v>
      </c>
      <c r="B5" s="318" t="s">
        <v>230</v>
      </c>
      <c r="C5" s="178">
        <f>IF(C7="","",C6/C7)</f>
        <v>1.2108427267847557</v>
      </c>
      <c r="D5" s="178">
        <f>IF(D7="","",D6/D7)</f>
        <v>1.1506834799194658</v>
      </c>
      <c r="E5" s="178">
        <f t="shared" ref="E5:O5" si="0">IF(E7="","",E6/E7)</f>
        <v>1.2036061351129845</v>
      </c>
      <c r="F5" s="178">
        <v>1.2159</v>
      </c>
      <c r="G5" s="178">
        <v>1.1826000000000001</v>
      </c>
      <c r="H5" s="156" t="str">
        <f t="shared" si="0"/>
        <v/>
      </c>
      <c r="I5" s="156" t="str">
        <f t="shared" si="0"/>
        <v/>
      </c>
      <c r="J5" s="156" t="str">
        <f t="shared" si="0"/>
        <v/>
      </c>
      <c r="K5" s="156" t="str">
        <f t="shared" si="0"/>
        <v/>
      </c>
      <c r="L5" s="156" t="str">
        <f t="shared" si="0"/>
        <v/>
      </c>
      <c r="M5" s="156" t="str">
        <f t="shared" si="0"/>
        <v/>
      </c>
      <c r="N5" s="156" t="str">
        <f t="shared" si="0"/>
        <v/>
      </c>
      <c r="O5" s="156" t="str">
        <f t="shared" si="0"/>
        <v/>
      </c>
      <c r="P5" s="138"/>
    </row>
    <row r="6" spans="1:17" ht="15" customHeight="1">
      <c r="A6" s="139" t="s">
        <v>231</v>
      </c>
      <c r="B6" s="319"/>
      <c r="C6" s="181">
        <v>11279</v>
      </c>
      <c r="D6" s="181">
        <v>10859</v>
      </c>
      <c r="E6" s="181">
        <v>10280</v>
      </c>
      <c r="F6" s="179">
        <v>11439</v>
      </c>
      <c r="G6" s="179">
        <v>11286</v>
      </c>
      <c r="H6" s="146"/>
      <c r="I6" s="146"/>
      <c r="J6" s="146"/>
      <c r="K6" s="146"/>
      <c r="L6" s="146"/>
      <c r="M6" s="146"/>
      <c r="N6" s="146"/>
      <c r="O6" s="146"/>
      <c r="P6" s="141"/>
    </row>
    <row r="7" spans="1:17" ht="15" customHeight="1">
      <c r="A7" s="139" t="s">
        <v>232</v>
      </c>
      <c r="B7" s="320"/>
      <c r="C7" s="179">
        <v>9315</v>
      </c>
      <c r="D7" s="179">
        <v>9437</v>
      </c>
      <c r="E7" s="179">
        <v>8541</v>
      </c>
      <c r="F7" s="179">
        <v>9408</v>
      </c>
      <c r="G7" s="179">
        <v>9543</v>
      </c>
      <c r="H7" s="146"/>
      <c r="I7" s="146"/>
      <c r="J7" s="146"/>
      <c r="K7" s="146"/>
      <c r="L7" s="146"/>
      <c r="M7" s="146"/>
      <c r="N7" s="146"/>
      <c r="O7" s="146"/>
      <c r="P7" s="141"/>
    </row>
    <row r="8" spans="1:17" ht="15.45">
      <c r="A8" s="136" t="s">
        <v>233</v>
      </c>
      <c r="B8" s="318" t="s">
        <v>234</v>
      </c>
      <c r="C8" s="180">
        <f>IF(C10="","",C9/C10)</f>
        <v>8.8601728201099768</v>
      </c>
      <c r="D8" s="180">
        <f>IF(D10="","",D9/D10)</f>
        <v>8.5302435192458752</v>
      </c>
      <c r="E8" s="180">
        <f t="shared" ref="E8:O8" si="1">IF(E10="","",E9/E10)</f>
        <v>9.2114695340501793</v>
      </c>
      <c r="F8" s="180">
        <f t="shared" si="1"/>
        <v>8.5174981384959043</v>
      </c>
      <c r="G8" s="180">
        <f>IF(G10="","",G9/G10)</f>
        <v>8.6021341463414629</v>
      </c>
      <c r="H8" s="156"/>
      <c r="I8" s="156" t="str">
        <f t="shared" si="1"/>
        <v/>
      </c>
      <c r="J8" s="156" t="str">
        <f t="shared" si="1"/>
        <v/>
      </c>
      <c r="K8" s="156" t="str">
        <f t="shared" si="1"/>
        <v/>
      </c>
      <c r="L8" s="156" t="str">
        <f t="shared" si="1"/>
        <v/>
      </c>
      <c r="M8" s="156" t="str">
        <f t="shared" si="1"/>
        <v/>
      </c>
      <c r="N8" s="156" t="str">
        <f t="shared" si="1"/>
        <v/>
      </c>
      <c r="O8" s="156" t="str">
        <f t="shared" si="1"/>
        <v/>
      </c>
    </row>
    <row r="9" spans="1:17" ht="15" customHeight="1">
      <c r="A9" s="139" t="s">
        <v>231</v>
      </c>
      <c r="B9" s="319"/>
      <c r="C9" s="181">
        <v>11279</v>
      </c>
      <c r="D9" s="181">
        <f>D6</f>
        <v>10859</v>
      </c>
      <c r="E9" s="181">
        <f>E6</f>
        <v>10280</v>
      </c>
      <c r="F9" s="179">
        <v>11439</v>
      </c>
      <c r="G9" s="179">
        <v>11286</v>
      </c>
      <c r="H9" s="146"/>
      <c r="I9" s="146"/>
      <c r="J9" s="146"/>
      <c r="K9" s="146"/>
      <c r="L9" s="146"/>
      <c r="M9" s="146"/>
      <c r="N9" s="146"/>
      <c r="O9" s="146"/>
    </row>
    <row r="10" spans="1:17" ht="15" customHeight="1">
      <c r="A10" s="143" t="s">
        <v>235</v>
      </c>
      <c r="B10" s="320"/>
      <c r="C10" s="181">
        <v>1273</v>
      </c>
      <c r="D10" s="181">
        <f>IF(('Produção 2026'!C8=0)," ",'Produção 2026'!C8)</f>
        <v>1273</v>
      </c>
      <c r="E10" s="181">
        <f>'Produção 2026'!D8</f>
        <v>1116</v>
      </c>
      <c r="F10" s="179">
        <v>1343</v>
      </c>
      <c r="G10" s="179">
        <v>1312</v>
      </c>
      <c r="H10" s="146"/>
      <c r="I10" s="146"/>
      <c r="J10" s="146"/>
      <c r="K10" s="146"/>
      <c r="L10" s="146"/>
      <c r="M10" s="146"/>
      <c r="N10" s="146"/>
      <c r="O10" s="146"/>
      <c r="P10" s="141"/>
      <c r="Q10" s="220"/>
    </row>
    <row r="11" spans="1:17" ht="15.45">
      <c r="A11" s="136" t="s">
        <v>236</v>
      </c>
      <c r="B11" s="318" t="s">
        <v>237</v>
      </c>
      <c r="C11" s="182">
        <f>IFERROR((((1-C12)*C13)/C12)*24,"")</f>
        <v>11.853243243243233</v>
      </c>
      <c r="D11" s="182">
        <f>IFERROR((((1-D12)*D13)/D12)*24,"")</f>
        <v>12.006999558743718</v>
      </c>
      <c r="E11" s="182">
        <f>IFERROR(((1-E12)*E13/E12)*24,"")</f>
        <v>7.3554697829241373</v>
      </c>
      <c r="F11" s="182">
        <f>((1-F12)*F13/F12)*24</f>
        <v>11.261717661954004</v>
      </c>
      <c r="G11" s="182">
        <v>9.9600000000000009</v>
      </c>
      <c r="H11" s="142"/>
      <c r="I11" s="142" t="str">
        <f t="shared" ref="I11:O11" si="2">IFERROR(((1-I12)*I13/I12)*24,"")</f>
        <v/>
      </c>
      <c r="J11" s="142" t="str">
        <f t="shared" si="2"/>
        <v/>
      </c>
      <c r="K11" s="142" t="str">
        <f t="shared" si="2"/>
        <v/>
      </c>
      <c r="L11" s="142" t="str">
        <f t="shared" si="2"/>
        <v/>
      </c>
      <c r="M11" s="142" t="str">
        <f t="shared" si="2"/>
        <v/>
      </c>
      <c r="N11" s="142" t="str">
        <f t="shared" si="2"/>
        <v/>
      </c>
      <c r="O11" s="142" t="str">
        <f t="shared" si="2"/>
        <v/>
      </c>
    </row>
    <row r="12" spans="1:17" ht="15" customHeight="1">
      <c r="A12" s="139" t="s">
        <v>238</v>
      </c>
      <c r="B12" s="319"/>
      <c r="C12" s="183">
        <v>0.94720000000000004</v>
      </c>
      <c r="D12" s="183">
        <v>0.9446</v>
      </c>
      <c r="E12" s="183">
        <v>0.96779999999999999</v>
      </c>
      <c r="F12" s="183">
        <v>0.94779999999999998</v>
      </c>
      <c r="G12" s="183">
        <v>0.95399999999999996</v>
      </c>
      <c r="H12" s="144"/>
      <c r="I12" s="144" t="str">
        <f t="shared" ref="I12:O12" si="3">I5</f>
        <v/>
      </c>
      <c r="J12" s="144" t="str">
        <f t="shared" si="3"/>
        <v/>
      </c>
      <c r="K12" s="144" t="str">
        <f t="shared" si="3"/>
        <v/>
      </c>
      <c r="L12" s="144" t="str">
        <f t="shared" si="3"/>
        <v/>
      </c>
      <c r="M12" s="144" t="str">
        <f t="shared" si="3"/>
        <v/>
      </c>
      <c r="N12" s="144" t="str">
        <f t="shared" si="3"/>
        <v/>
      </c>
      <c r="O12" s="144" t="str">
        <f t="shared" si="3"/>
        <v/>
      </c>
    </row>
    <row r="13" spans="1:17" ht="15" customHeight="1">
      <c r="A13" s="139" t="s">
        <v>239</v>
      </c>
      <c r="B13" s="320"/>
      <c r="C13" s="184">
        <v>8.86</v>
      </c>
      <c r="D13" s="184">
        <f>D8</f>
        <v>8.5302435192458752</v>
      </c>
      <c r="E13" s="184">
        <f>E8</f>
        <v>9.2114695340501793</v>
      </c>
      <c r="F13" s="184">
        <v>8.52</v>
      </c>
      <c r="G13" s="184">
        <v>8.6</v>
      </c>
      <c r="H13" s="145"/>
      <c r="I13" s="145" t="str">
        <f t="shared" ref="I13:O13" si="4">I8</f>
        <v/>
      </c>
      <c r="J13" s="145" t="str">
        <f t="shared" si="4"/>
        <v/>
      </c>
      <c r="K13" s="145" t="str">
        <f t="shared" si="4"/>
        <v/>
      </c>
      <c r="L13" s="145" t="str">
        <f t="shared" si="4"/>
        <v/>
      </c>
      <c r="M13" s="145" t="str">
        <f t="shared" si="4"/>
        <v/>
      </c>
      <c r="N13" s="145" t="str">
        <f t="shared" si="4"/>
        <v/>
      </c>
      <c r="O13" s="145" t="str">
        <f t="shared" si="4"/>
        <v/>
      </c>
    </row>
    <row r="14" spans="1:17" ht="15.45">
      <c r="A14" s="136" t="s">
        <v>240</v>
      </c>
      <c r="B14" s="321" t="s">
        <v>241</v>
      </c>
      <c r="C14" s="178">
        <f>IF(C16="","",C15/C16)</f>
        <v>4.7132757266300077E-2</v>
      </c>
      <c r="D14" s="178">
        <f>IF(D16="","",D15/D16)</f>
        <v>5.0314465408805034E-2</v>
      </c>
      <c r="E14" s="178">
        <f t="shared" ref="E14:O14" si="5">IF(E16="","",E15/E16)</f>
        <v>3.6219081272084806E-2</v>
      </c>
      <c r="F14" s="178">
        <v>4.1500000000000002E-2</v>
      </c>
      <c r="G14" s="178">
        <v>4.8800000000000003E-2</v>
      </c>
      <c r="H14" s="156"/>
      <c r="I14" s="156" t="str">
        <f t="shared" si="5"/>
        <v/>
      </c>
      <c r="J14" s="156" t="str">
        <f t="shared" si="5"/>
        <v/>
      </c>
      <c r="K14" s="156" t="str">
        <f t="shared" si="5"/>
        <v/>
      </c>
      <c r="L14" s="156" t="str">
        <f t="shared" si="5"/>
        <v/>
      </c>
      <c r="M14" s="156" t="str">
        <f t="shared" si="5"/>
        <v/>
      </c>
      <c r="N14" s="156" t="str">
        <f t="shared" si="5"/>
        <v/>
      </c>
      <c r="O14" s="156" t="str">
        <f t="shared" si="5"/>
        <v/>
      </c>
    </row>
    <row r="15" spans="1:17" ht="15" customHeight="1">
      <c r="A15" s="148" t="s">
        <v>242</v>
      </c>
      <c r="B15" s="322"/>
      <c r="C15" s="179">
        <v>60</v>
      </c>
      <c r="D15" s="179">
        <v>64</v>
      </c>
      <c r="E15" s="179">
        <v>41</v>
      </c>
      <c r="F15" s="179">
        <v>55</v>
      </c>
      <c r="G15" s="179">
        <v>66</v>
      </c>
      <c r="H15" s="146"/>
      <c r="I15" s="146"/>
      <c r="J15" s="146"/>
      <c r="K15" s="146"/>
      <c r="L15" s="146"/>
      <c r="M15" s="146"/>
      <c r="N15" s="146"/>
      <c r="O15" s="146"/>
    </row>
    <row r="16" spans="1:17" ht="15" customHeight="1">
      <c r="A16" s="148" t="s">
        <v>243</v>
      </c>
      <c r="B16" s="323"/>
      <c r="C16" s="179">
        <v>1273</v>
      </c>
      <c r="D16" s="179">
        <v>1272</v>
      </c>
      <c r="E16" s="179">
        <v>1132</v>
      </c>
      <c r="F16" s="179">
        <v>1324</v>
      </c>
      <c r="G16" s="179">
        <v>1352</v>
      </c>
      <c r="H16" s="146"/>
      <c r="I16" s="146"/>
      <c r="J16" s="146"/>
      <c r="K16" s="146"/>
      <c r="L16" s="146"/>
      <c r="M16" s="146"/>
      <c r="N16" s="146"/>
      <c r="O16" s="146"/>
    </row>
    <row r="17" spans="1:15" ht="15.45">
      <c r="A17" s="136" t="s">
        <v>244</v>
      </c>
      <c r="B17" s="321" t="s">
        <v>245</v>
      </c>
      <c r="C17" s="178">
        <f>IF(C19="","",C18/C19)</f>
        <v>9.8039215686274508E-3</v>
      </c>
      <c r="D17" s="178">
        <f>IF(D19="","",D18/D19)</f>
        <v>2.4E-2</v>
      </c>
      <c r="E17" s="224">
        <f t="shared" ref="E17:O17" si="6">IF(E19="","",E18/E19)</f>
        <v>1.7241379310344827E-2</v>
      </c>
      <c r="F17" s="178">
        <v>1.6899999999999998E-2</v>
      </c>
      <c r="G17" s="178">
        <v>2.5899999999999999E-2</v>
      </c>
      <c r="H17" s="156"/>
      <c r="I17" s="156" t="str">
        <f t="shared" si="6"/>
        <v/>
      </c>
      <c r="J17" s="156" t="str">
        <f t="shared" si="6"/>
        <v/>
      </c>
      <c r="K17" s="156" t="str">
        <f t="shared" si="6"/>
        <v/>
      </c>
      <c r="L17" s="156" t="str">
        <f t="shared" si="6"/>
        <v/>
      </c>
      <c r="M17" s="156" t="str">
        <f t="shared" si="6"/>
        <v/>
      </c>
      <c r="N17" s="156" t="str">
        <f t="shared" si="6"/>
        <v/>
      </c>
      <c r="O17" s="156" t="str">
        <f t="shared" si="6"/>
        <v/>
      </c>
    </row>
    <row r="18" spans="1:15" ht="15" customHeight="1">
      <c r="A18" s="139" t="s">
        <v>246</v>
      </c>
      <c r="B18" s="322"/>
      <c r="C18" s="179">
        <v>1</v>
      </c>
      <c r="D18" s="179">
        <v>3</v>
      </c>
      <c r="E18" s="223">
        <v>2</v>
      </c>
      <c r="F18" s="179">
        <v>2</v>
      </c>
      <c r="G18" s="179">
        <v>3</v>
      </c>
      <c r="H18" s="146"/>
      <c r="I18" s="146"/>
      <c r="J18" s="146"/>
      <c r="K18" s="146"/>
      <c r="L18" s="146"/>
      <c r="M18" s="146"/>
      <c r="N18" s="146"/>
      <c r="O18" s="146"/>
    </row>
    <row r="19" spans="1:15" ht="15" customHeight="1">
      <c r="A19" s="139" t="s">
        <v>247</v>
      </c>
      <c r="B19" s="323"/>
      <c r="C19" s="179">
        <v>102</v>
      </c>
      <c r="D19" s="179">
        <v>125</v>
      </c>
      <c r="E19" s="223">
        <v>116</v>
      </c>
      <c r="F19" s="179">
        <v>118</v>
      </c>
      <c r="G19" s="179">
        <v>116</v>
      </c>
      <c r="H19" s="146"/>
      <c r="I19" s="146"/>
      <c r="J19" s="146"/>
      <c r="K19" s="146"/>
      <c r="L19" s="146"/>
      <c r="M19" s="146"/>
      <c r="N19" s="146"/>
      <c r="O19" s="146"/>
    </row>
    <row r="20" spans="1:15" s="152" customFormat="1" ht="23.15">
      <c r="A20" s="136" t="s">
        <v>248</v>
      </c>
      <c r="B20" s="318" t="s">
        <v>249</v>
      </c>
      <c r="C20" s="219">
        <v>7.9000000000000008E-3</v>
      </c>
      <c r="D20" s="219">
        <v>1.6299999999999999E-2</v>
      </c>
      <c r="E20" s="219">
        <v>3.2000000000000002E-3</v>
      </c>
      <c r="F20" s="219">
        <v>5.1499999999999997E-2</v>
      </c>
      <c r="G20" s="185" t="s">
        <v>250</v>
      </c>
      <c r="H20" s="149"/>
      <c r="I20" s="150"/>
      <c r="J20" s="150"/>
      <c r="K20" s="150"/>
      <c r="L20" s="150"/>
      <c r="M20" s="150"/>
      <c r="N20" s="150"/>
      <c r="O20" s="151"/>
    </row>
    <row r="21" spans="1:15" s="152" customFormat="1" ht="30">
      <c r="A21" s="153" t="s">
        <v>251</v>
      </c>
      <c r="B21" s="319"/>
      <c r="C21" s="10">
        <v>16</v>
      </c>
      <c r="D21" s="10">
        <v>30</v>
      </c>
      <c r="E21" s="10">
        <v>5</v>
      </c>
      <c r="F21" s="10">
        <v>94</v>
      </c>
      <c r="G21" s="185" t="s">
        <v>250</v>
      </c>
      <c r="H21" s="154"/>
      <c r="I21" s="154"/>
      <c r="J21" s="154"/>
      <c r="K21" s="154"/>
      <c r="L21" s="154"/>
      <c r="M21" s="154"/>
      <c r="N21" s="154"/>
      <c r="O21" s="151"/>
    </row>
    <row r="22" spans="1:15" s="152" customFormat="1" ht="21.75" customHeight="1">
      <c r="A22" s="153" t="s">
        <v>252</v>
      </c>
      <c r="B22" s="319"/>
      <c r="C22" s="11">
        <v>2037</v>
      </c>
      <c r="D22" s="11">
        <v>1840</v>
      </c>
      <c r="E22" s="11">
        <v>1576</v>
      </c>
      <c r="F22" s="11">
        <v>1822</v>
      </c>
      <c r="G22" s="185" t="s">
        <v>250</v>
      </c>
      <c r="H22" s="140"/>
      <c r="I22" s="155"/>
      <c r="J22" s="155"/>
      <c r="K22" s="155"/>
      <c r="L22" s="155"/>
      <c r="M22" s="155"/>
      <c r="N22" s="155"/>
      <c r="O22" s="151"/>
    </row>
    <row r="23" spans="1:15" s="152" customFormat="1" ht="23.25" customHeight="1">
      <c r="A23" s="153" t="s">
        <v>253</v>
      </c>
      <c r="B23" s="319"/>
      <c r="C23" s="10">
        <v>124</v>
      </c>
      <c r="D23" s="10">
        <v>243</v>
      </c>
      <c r="E23" s="10">
        <v>72</v>
      </c>
      <c r="F23" s="10">
        <v>145</v>
      </c>
      <c r="G23" s="185" t="s">
        <v>250</v>
      </c>
      <c r="H23" s="154"/>
      <c r="I23" s="154"/>
      <c r="J23" s="154"/>
      <c r="K23" s="154"/>
      <c r="L23" s="154"/>
      <c r="M23" s="154"/>
      <c r="N23" s="154"/>
      <c r="O23" s="151"/>
    </row>
    <row r="24" spans="1:15" s="152" customFormat="1" ht="24.75" customHeight="1">
      <c r="A24" s="153" t="s">
        <v>254</v>
      </c>
      <c r="B24" s="320"/>
      <c r="C24" s="11">
        <v>1913</v>
      </c>
      <c r="D24" s="11">
        <v>1597</v>
      </c>
      <c r="E24" s="11">
        <v>1504</v>
      </c>
      <c r="F24" s="11">
        <v>1677</v>
      </c>
      <c r="G24" s="185" t="s">
        <v>250</v>
      </c>
      <c r="H24" s="154"/>
      <c r="I24" s="154"/>
      <c r="J24" s="154"/>
      <c r="K24" s="154"/>
      <c r="L24" s="154"/>
      <c r="M24" s="154"/>
      <c r="N24" s="154"/>
      <c r="O24" s="151"/>
    </row>
    <row r="25" spans="1:15" ht="30.9">
      <c r="A25" s="136" t="s">
        <v>255</v>
      </c>
      <c r="B25" s="318" t="s">
        <v>256</v>
      </c>
      <c r="C25" s="214">
        <f>IF(C27="","",C26/C27)</f>
        <v>1.3582342954159592E-2</v>
      </c>
      <c r="D25" s="214">
        <f>IF(D27="","",D26/D27)</f>
        <v>3.0581039755351682E-3</v>
      </c>
      <c r="E25" s="225">
        <f>IF(E27="","",E26/E27)</f>
        <v>9.0909090909090905E-3</v>
      </c>
      <c r="F25" s="224">
        <v>1.2999999999999999E-3</v>
      </c>
      <c r="G25" s="178">
        <v>8.6E-3</v>
      </c>
      <c r="H25" s="156" t="str">
        <f t="shared" ref="H25:I25" si="7">IF(H27="","",H26/H27)</f>
        <v/>
      </c>
      <c r="I25" s="156" t="str">
        <f t="shared" si="7"/>
        <v/>
      </c>
      <c r="J25" s="156" t="str">
        <f t="shared" ref="J25:O25" si="8">IF(J27="","",J26/J27)</f>
        <v/>
      </c>
      <c r="K25" s="137" t="str">
        <f t="shared" si="8"/>
        <v/>
      </c>
      <c r="L25" s="137" t="str">
        <f t="shared" si="8"/>
        <v/>
      </c>
      <c r="M25" s="137" t="str">
        <f t="shared" si="8"/>
        <v/>
      </c>
      <c r="N25" s="137" t="str">
        <f>IF(N27="","",N26/N27)</f>
        <v/>
      </c>
      <c r="O25" s="137" t="str">
        <f t="shared" si="8"/>
        <v/>
      </c>
    </row>
    <row r="26" spans="1:15" ht="20.25" customHeight="1">
      <c r="A26" s="139" t="s">
        <v>257</v>
      </c>
      <c r="B26" s="319"/>
      <c r="C26" s="179">
        <v>8</v>
      </c>
      <c r="D26" s="179">
        <v>2</v>
      </c>
      <c r="E26" s="223">
        <v>6</v>
      </c>
      <c r="F26" s="223">
        <v>1</v>
      </c>
      <c r="G26" s="179">
        <v>6</v>
      </c>
      <c r="H26" s="146"/>
      <c r="I26" s="146"/>
      <c r="J26" s="147"/>
      <c r="K26" s="146"/>
      <c r="L26" s="146"/>
      <c r="M26" s="146"/>
      <c r="N26" s="146"/>
      <c r="O26" s="146"/>
    </row>
    <row r="27" spans="1:15" ht="19.5" customHeight="1">
      <c r="A27" s="139" t="s">
        <v>258</v>
      </c>
      <c r="B27" s="320"/>
      <c r="C27" s="179">
        <v>589</v>
      </c>
      <c r="D27" s="179">
        <v>654</v>
      </c>
      <c r="E27" s="127">
        <v>660</v>
      </c>
      <c r="F27" s="223">
        <v>775</v>
      </c>
      <c r="G27" s="179">
        <v>701</v>
      </c>
      <c r="H27" s="146"/>
      <c r="I27" s="146"/>
      <c r="J27" s="146"/>
      <c r="K27" s="146"/>
      <c r="L27" s="146"/>
      <c r="N27" s="146"/>
      <c r="O27" s="146"/>
    </row>
    <row r="28" spans="1:15" ht="46.3">
      <c r="A28" s="136" t="s">
        <v>259</v>
      </c>
      <c r="B28" s="318" t="s">
        <v>260</v>
      </c>
      <c r="C28" s="78" t="s">
        <v>22</v>
      </c>
      <c r="D28" s="78" t="s">
        <v>22</v>
      </c>
      <c r="E28" s="78" t="s">
        <v>22</v>
      </c>
      <c r="F28" s="78" t="s">
        <v>22</v>
      </c>
      <c r="G28" s="78" t="s">
        <v>22</v>
      </c>
      <c r="H28" s="78" t="s">
        <v>22</v>
      </c>
      <c r="I28" s="78" t="s">
        <v>22</v>
      </c>
      <c r="J28" s="78" t="s">
        <v>22</v>
      </c>
      <c r="K28" s="78" t="s">
        <v>22</v>
      </c>
      <c r="L28" s="78" t="s">
        <v>22</v>
      </c>
      <c r="M28" s="78" t="s">
        <v>22</v>
      </c>
      <c r="N28" s="78" t="s">
        <v>22</v>
      </c>
      <c r="O28" s="78" t="s">
        <v>22</v>
      </c>
    </row>
    <row r="29" spans="1:15" ht="15" customHeight="1">
      <c r="A29" s="139" t="s">
        <v>261</v>
      </c>
      <c r="B29" s="319"/>
      <c r="C29" s="78" t="s">
        <v>22</v>
      </c>
      <c r="D29" s="78" t="s">
        <v>22</v>
      </c>
      <c r="E29" s="78" t="s">
        <v>22</v>
      </c>
      <c r="F29" s="78" t="s">
        <v>22</v>
      </c>
      <c r="G29" s="78" t="s">
        <v>22</v>
      </c>
      <c r="H29" s="78" t="s">
        <v>22</v>
      </c>
      <c r="I29" s="78" t="s">
        <v>22</v>
      </c>
      <c r="J29" s="78" t="s">
        <v>22</v>
      </c>
      <c r="K29" s="78" t="s">
        <v>22</v>
      </c>
      <c r="L29" s="78" t="s">
        <v>22</v>
      </c>
      <c r="M29" s="78" t="s">
        <v>22</v>
      </c>
      <c r="N29" s="78" t="s">
        <v>22</v>
      </c>
      <c r="O29" s="78" t="s">
        <v>22</v>
      </c>
    </row>
    <row r="30" spans="1:15" ht="30">
      <c r="A30" s="139" t="s">
        <v>262</v>
      </c>
      <c r="B30" s="320"/>
      <c r="C30" s="78" t="s">
        <v>22</v>
      </c>
      <c r="D30" s="78" t="s">
        <v>22</v>
      </c>
      <c r="E30" s="78" t="s">
        <v>22</v>
      </c>
      <c r="F30" s="78" t="s">
        <v>22</v>
      </c>
      <c r="G30" s="78" t="s">
        <v>22</v>
      </c>
      <c r="H30" s="78" t="s">
        <v>22</v>
      </c>
      <c r="I30" s="78" t="s">
        <v>22</v>
      </c>
      <c r="J30" s="78" t="s">
        <v>22</v>
      </c>
      <c r="K30" s="78" t="s">
        <v>22</v>
      </c>
      <c r="L30" s="78" t="s">
        <v>22</v>
      </c>
      <c r="M30" s="78" t="s">
        <v>22</v>
      </c>
      <c r="N30" s="78" t="s">
        <v>22</v>
      </c>
      <c r="O30" s="78" t="s">
        <v>22</v>
      </c>
    </row>
    <row r="31" spans="1:15" ht="46.3">
      <c r="A31" s="136" t="s">
        <v>263</v>
      </c>
      <c r="B31" s="318" t="s">
        <v>264</v>
      </c>
      <c r="C31" s="200">
        <f t="shared" ref="C31:D31" si="9">IF(C33="","",C32/C33)</f>
        <v>2.8810408921933085E-2</v>
      </c>
      <c r="D31" s="200">
        <f t="shared" si="9"/>
        <v>2.865064695009242E-2</v>
      </c>
      <c r="E31" s="228">
        <f t="shared" ref="E31" si="10">IF(E33="","",E32/E33)</f>
        <v>5.3023255813953486E-2</v>
      </c>
      <c r="F31" s="200">
        <f t="shared" ref="F31:G31" si="11">IF(F33="","",F32/F33)</f>
        <v>8.1967213114754092E-2</v>
      </c>
      <c r="G31" s="200">
        <f t="shared" si="11"/>
        <v>5.4435483870967742E-2</v>
      </c>
      <c r="H31" s="159" t="str">
        <f t="shared" ref="H31" si="12">IF(H33="","",H32/H33)</f>
        <v/>
      </c>
      <c r="I31" s="159" t="str">
        <f t="shared" ref="I31" si="13">IF(I33="","",I32/I33)</f>
        <v/>
      </c>
      <c r="J31" s="159" t="str">
        <f t="shared" ref="J31" si="14">IF(J33="","",J32/J33)</f>
        <v/>
      </c>
      <c r="K31" s="159" t="str">
        <f t="shared" ref="K31" si="15">IF(K33="","",K32/K33)</f>
        <v/>
      </c>
      <c r="L31" s="159" t="str">
        <f t="shared" ref="L31" si="16">IF(L33="","",L32/L33)</f>
        <v/>
      </c>
      <c r="M31" s="159" t="str">
        <f t="shared" ref="M31" si="17">IF(M33="","",M32/M33)</f>
        <v/>
      </c>
      <c r="N31" s="159" t="str">
        <f t="shared" ref="N31" si="18">IF(N33="","",N32/N33)</f>
        <v/>
      </c>
      <c r="O31" s="159" t="str">
        <f t="shared" ref="O31" si="19">IF(O33="","",O32/O33)</f>
        <v/>
      </c>
    </row>
    <row r="32" spans="1:15" ht="21.75" customHeight="1">
      <c r="A32" s="139" t="s">
        <v>261</v>
      </c>
      <c r="B32" s="319"/>
      <c r="C32" s="179">
        <v>31</v>
      </c>
      <c r="D32" s="179">
        <v>31</v>
      </c>
      <c r="E32" s="221">
        <v>57</v>
      </c>
      <c r="F32" s="179">
        <v>85</v>
      </c>
      <c r="G32" s="179">
        <v>54</v>
      </c>
      <c r="H32" s="146"/>
      <c r="I32" s="146"/>
      <c r="J32" s="146"/>
      <c r="K32" s="146"/>
      <c r="L32" s="146"/>
      <c r="M32" s="146"/>
      <c r="N32" s="146"/>
      <c r="O32" s="146"/>
    </row>
    <row r="33" spans="1:15" ht="33" customHeight="1">
      <c r="A33" s="139" t="s">
        <v>262</v>
      </c>
      <c r="B33" s="320"/>
      <c r="C33" s="181">
        <v>1076</v>
      </c>
      <c r="D33" s="181">
        <v>1082</v>
      </c>
      <c r="E33" s="222">
        <v>1075</v>
      </c>
      <c r="F33" s="179">
        <v>1037</v>
      </c>
      <c r="G33" s="179">
        <v>992</v>
      </c>
      <c r="H33" s="146"/>
      <c r="I33" s="146"/>
      <c r="J33" s="146"/>
      <c r="K33" s="146"/>
      <c r="L33" s="146"/>
      <c r="M33" s="146"/>
      <c r="N33" s="146"/>
      <c r="O33" s="146"/>
    </row>
    <row r="34" spans="1:15" ht="17.25" customHeight="1">
      <c r="A34" s="136" t="s">
        <v>265</v>
      </c>
      <c r="B34" s="318">
        <v>1</v>
      </c>
      <c r="C34" s="204">
        <f t="shared" ref="C34:E34" si="20">IF(C36="","",C35/C36)</f>
        <v>0.98156862745098039</v>
      </c>
      <c r="D34" s="204">
        <f t="shared" si="20"/>
        <v>1.2056862745098038</v>
      </c>
      <c r="E34" s="204">
        <f t="shared" si="20"/>
        <v>1.0705882352941176</v>
      </c>
      <c r="F34" s="204">
        <v>1.25</v>
      </c>
      <c r="G34" s="204">
        <f t="shared" ref="G34" si="21">IF(G36="","",G35/G36)</f>
        <v>1.1639215686274509</v>
      </c>
      <c r="H34" s="159" t="str">
        <f t="shared" ref="H34" si="22">IF(H36="","",H35/H36)</f>
        <v/>
      </c>
      <c r="I34" s="159" t="str">
        <f t="shared" ref="I34" si="23">IF(I36="","",I35/I36)</f>
        <v/>
      </c>
      <c r="J34" s="159" t="str">
        <f t="shared" ref="J34" si="24">IF(J36="","",J35/J36)</f>
        <v/>
      </c>
      <c r="K34" s="159" t="str">
        <f t="shared" ref="K34" si="25">IF(K36="","",K35/K36)</f>
        <v/>
      </c>
      <c r="L34" s="159" t="str">
        <f t="shared" ref="L34" si="26">IF(L36="","",L35/L36)</f>
        <v/>
      </c>
      <c r="M34" s="159" t="str">
        <f t="shared" ref="M34" si="27">IF(M36="","",M35/M36)</f>
        <v/>
      </c>
      <c r="N34" s="159" t="str">
        <f t="shared" ref="N34" si="28">IF(N36="","",N35/N36)</f>
        <v/>
      </c>
      <c r="O34" s="159" t="str">
        <f t="shared" ref="O34" si="29">IF(O36="","",O35/O36)</f>
        <v/>
      </c>
    </row>
    <row r="35" spans="1:15" ht="23.25" customHeight="1">
      <c r="A35" s="158" t="s">
        <v>266</v>
      </c>
      <c r="B35" s="319"/>
      <c r="C35" s="181">
        <v>5006</v>
      </c>
      <c r="D35" s="181">
        <f>4358+1791</f>
        <v>6149</v>
      </c>
      <c r="E35" s="181">
        <f>3867+1593</f>
        <v>5460</v>
      </c>
      <c r="F35" s="179">
        <v>6356</v>
      </c>
      <c r="G35" s="179">
        <v>5936</v>
      </c>
      <c r="H35" s="146"/>
      <c r="I35" s="146"/>
      <c r="J35" s="146"/>
      <c r="K35" s="146"/>
      <c r="L35" s="146"/>
      <c r="M35" s="146"/>
      <c r="N35" s="146"/>
      <c r="O35" s="146"/>
    </row>
    <row r="36" spans="1:15" ht="20.25" customHeight="1">
      <c r="A36" s="158" t="s">
        <v>267</v>
      </c>
      <c r="B36" s="320"/>
      <c r="C36" s="179">
        <v>5100</v>
      </c>
      <c r="D36" s="179">
        <v>5100</v>
      </c>
      <c r="E36" s="179">
        <v>5100</v>
      </c>
      <c r="F36" s="179">
        <v>5100</v>
      </c>
      <c r="G36" s="179">
        <v>5100</v>
      </c>
      <c r="H36" s="146"/>
      <c r="I36" s="146"/>
      <c r="J36" s="146"/>
      <c r="K36" s="146"/>
      <c r="L36" s="146"/>
      <c r="M36" s="146"/>
      <c r="N36" s="146"/>
      <c r="O36" s="146"/>
    </row>
    <row r="37" spans="1:15" ht="30.9">
      <c r="A37" s="136" t="s">
        <v>268</v>
      </c>
      <c r="B37" s="318" t="s">
        <v>269</v>
      </c>
      <c r="C37" s="186">
        <f t="shared" ref="C37:D37" si="30">IF(C39="","",C38/C39)</f>
        <v>1</v>
      </c>
      <c r="D37" s="186">
        <f t="shared" si="30"/>
        <v>1</v>
      </c>
      <c r="E37" s="186">
        <f t="shared" ref="E37" si="31">IF(E39="","",E38/E39)</f>
        <v>1</v>
      </c>
      <c r="F37" s="186">
        <f t="shared" ref="F37" si="32">IF(F39="","",F38/F39)</f>
        <v>1</v>
      </c>
      <c r="G37" s="186">
        <f t="shared" ref="G37" si="33">IF(G39="","",G38/G39)</f>
        <v>1</v>
      </c>
      <c r="H37" s="159" t="str">
        <f t="shared" ref="H37" si="34">IF(H39="","",H38/H39)</f>
        <v/>
      </c>
      <c r="I37" s="159"/>
      <c r="J37" s="159" t="str">
        <f t="shared" ref="J37" si="35">IF(J39="","",J38/J39)</f>
        <v/>
      </c>
      <c r="K37" s="159" t="str">
        <f t="shared" ref="K37" si="36">IF(K39="","",K38/K39)</f>
        <v/>
      </c>
      <c r="L37" s="159" t="str">
        <f t="shared" ref="L37" si="37">IF(L39="","",L38/L39)</f>
        <v/>
      </c>
      <c r="M37" s="159" t="str">
        <f t="shared" ref="M37" si="38">IF(M39="","",M38/M39)</f>
        <v/>
      </c>
      <c r="N37" s="159" t="str">
        <f t="shared" ref="N37" si="39">IF(N39="","",N38/N39)</f>
        <v/>
      </c>
      <c r="O37" s="159" t="str">
        <f t="shared" ref="O37" si="40">IF(O39="","",O38/O39)</f>
        <v/>
      </c>
    </row>
    <row r="38" spans="1:15" ht="21" customHeight="1">
      <c r="A38" s="139" t="s">
        <v>270</v>
      </c>
      <c r="B38" s="319"/>
      <c r="C38" s="181">
        <v>13828</v>
      </c>
      <c r="D38" s="181">
        <v>12468</v>
      </c>
      <c r="E38" s="181">
        <v>11338</v>
      </c>
      <c r="F38" s="181">
        <v>13832</v>
      </c>
      <c r="G38" s="181">
        <f>2290-152+11768-863-44</f>
        <v>12999</v>
      </c>
      <c r="H38" s="146"/>
      <c r="I38" s="146"/>
      <c r="J38" s="146"/>
      <c r="K38" s="146"/>
      <c r="L38" s="146"/>
      <c r="M38" s="146"/>
      <c r="N38" s="146"/>
      <c r="O38" s="146"/>
    </row>
    <row r="39" spans="1:15" ht="29.5" customHeight="1">
      <c r="A39" s="139" t="s">
        <v>271</v>
      </c>
      <c r="B39" s="320"/>
      <c r="C39" s="181">
        <v>13828</v>
      </c>
      <c r="D39" s="181">
        <v>12468</v>
      </c>
      <c r="E39" s="181">
        <v>11338</v>
      </c>
      <c r="F39" s="181">
        <v>13832</v>
      </c>
      <c r="G39" s="181">
        <f>2290-152+11768-863-44</f>
        <v>12999</v>
      </c>
      <c r="H39" s="146"/>
      <c r="I39" s="146"/>
      <c r="J39" s="146"/>
      <c r="K39" s="146"/>
      <c r="L39" s="146"/>
      <c r="M39" s="146"/>
      <c r="N39" s="146"/>
      <c r="O39" s="146"/>
    </row>
    <row r="40" spans="1:15" ht="46.3">
      <c r="A40" s="136" t="s">
        <v>272</v>
      </c>
      <c r="B40" s="318" t="s">
        <v>273</v>
      </c>
      <c r="C40" s="200">
        <f t="shared" ref="C40:D40" si="41">IF(C42="","",C41/C42)</f>
        <v>0.96399999999999997</v>
      </c>
      <c r="D40" s="200">
        <f t="shared" si="41"/>
        <v>0.98039215686274506</v>
      </c>
      <c r="E40" s="200">
        <f t="shared" ref="E40" si="42">IF(E42="","",E41/E42)</f>
        <v>0.97289972899728994</v>
      </c>
      <c r="F40" s="228">
        <f t="shared" ref="F40" si="43">IF(F42="","",F41/F42)</f>
        <v>0.97635933806146569</v>
      </c>
      <c r="G40" s="200">
        <f t="shared" ref="G40" si="44">IF(G42="","",G41/G42)</f>
        <v>0.97471264367816091</v>
      </c>
      <c r="H40" s="159" t="str">
        <f t="shared" ref="H40" si="45">IF(H42="","",H41/H42)</f>
        <v/>
      </c>
      <c r="I40" s="159" t="str">
        <f t="shared" ref="I40" si="46">IF(I42="","",I41/I42)</f>
        <v/>
      </c>
      <c r="J40" s="159" t="str">
        <f t="shared" ref="J40" si="47">IF(J42="","",J41/J42)</f>
        <v/>
      </c>
      <c r="K40" s="159" t="str">
        <f t="shared" ref="K40" si="48">IF(K42="","",K41/K42)</f>
        <v/>
      </c>
      <c r="L40" s="159" t="str">
        <f t="shared" ref="L40" si="49">IF(L42="","",L41/L42)</f>
        <v/>
      </c>
      <c r="M40" s="159" t="str">
        <f t="shared" ref="M40" si="50">IF(M42="","",M41/M42)</f>
        <v/>
      </c>
      <c r="N40" s="159" t="str">
        <f t="shared" ref="N40" si="51">IF(N42="","",N41/N42)</f>
        <v/>
      </c>
      <c r="O40" s="159" t="str">
        <f t="shared" ref="O40" si="52">IF(O42="","",O41/O42)</f>
        <v/>
      </c>
    </row>
    <row r="41" spans="1:15" ht="36" customHeight="1">
      <c r="A41" s="148" t="s">
        <v>274</v>
      </c>
      <c r="B41" s="319"/>
      <c r="C41" s="179">
        <v>482</v>
      </c>
      <c r="D41" s="179">
        <v>500</v>
      </c>
      <c r="E41" s="223">
        <v>359</v>
      </c>
      <c r="F41" s="230">
        <v>413</v>
      </c>
      <c r="G41" s="179">
        <v>424</v>
      </c>
      <c r="H41" s="146"/>
      <c r="I41" s="146"/>
      <c r="J41" s="146"/>
      <c r="K41" s="146"/>
      <c r="L41" s="146"/>
      <c r="M41" s="146"/>
      <c r="N41" s="146"/>
      <c r="O41" s="146"/>
    </row>
    <row r="42" spans="1:15" ht="30" customHeight="1">
      <c r="A42" s="139" t="s">
        <v>275</v>
      </c>
      <c r="B42" s="320"/>
      <c r="C42" s="179">
        <v>500</v>
      </c>
      <c r="D42" s="179">
        <v>510</v>
      </c>
      <c r="E42" s="223">
        <v>369</v>
      </c>
      <c r="F42" s="230">
        <v>423</v>
      </c>
      <c r="G42" s="179">
        <v>435</v>
      </c>
      <c r="H42" s="146"/>
      <c r="I42" s="146"/>
      <c r="J42" s="146"/>
      <c r="K42" s="146"/>
      <c r="L42" s="146"/>
      <c r="M42" s="146"/>
      <c r="N42" s="146"/>
      <c r="O42" s="146"/>
    </row>
    <row r="43" spans="1:15" ht="46.3">
      <c r="A43" s="136" t="s">
        <v>276</v>
      </c>
      <c r="B43" s="318" t="s">
        <v>273</v>
      </c>
      <c r="C43" s="186">
        <f t="shared" ref="C43:F43" si="53">IF(C45="","",C44/C45)</f>
        <v>1</v>
      </c>
      <c r="D43" s="186">
        <f t="shared" si="53"/>
        <v>1</v>
      </c>
      <c r="E43" s="186">
        <f t="shared" si="53"/>
        <v>1</v>
      </c>
      <c r="F43" s="231">
        <f t="shared" si="53"/>
        <v>1</v>
      </c>
      <c r="G43" s="186">
        <f>IF(G45="","",G44/G45)</f>
        <v>1</v>
      </c>
      <c r="H43" s="159" t="str">
        <f>IF(H45="","",H44/H45)</f>
        <v/>
      </c>
      <c r="I43" s="159" t="str">
        <f>IF(I45="","",I44/I45)</f>
        <v/>
      </c>
      <c r="J43" s="159" t="str">
        <f>IF(J45="","",J44/J45)</f>
        <v/>
      </c>
      <c r="K43" s="159" t="str">
        <f t="shared" ref="K43:O43" si="54">IF(K45="","",K44/K45)</f>
        <v/>
      </c>
      <c r="L43" s="159" t="str">
        <f t="shared" si="54"/>
        <v/>
      </c>
      <c r="M43" s="159" t="str">
        <f t="shared" si="54"/>
        <v/>
      </c>
      <c r="N43" s="159" t="str">
        <f t="shared" si="54"/>
        <v/>
      </c>
      <c r="O43" s="159" t="str">
        <f t="shared" si="54"/>
        <v/>
      </c>
    </row>
    <row r="44" spans="1:15" ht="35.25" customHeight="1">
      <c r="A44" s="148" t="s">
        <v>277</v>
      </c>
      <c r="B44" s="319"/>
      <c r="C44" s="179">
        <v>482</v>
      </c>
      <c r="D44" s="179">
        <v>510</v>
      </c>
      <c r="E44" s="223">
        <v>369</v>
      </c>
      <c r="F44" s="230">
        <v>423</v>
      </c>
      <c r="G44" s="179">
        <v>435</v>
      </c>
      <c r="H44" s="146"/>
      <c r="I44" s="146"/>
      <c r="J44" s="147"/>
      <c r="K44" s="146"/>
      <c r="L44" s="160"/>
      <c r="M44" s="146"/>
      <c r="N44" s="147"/>
      <c r="O44" s="146"/>
    </row>
    <row r="45" spans="1:15" ht="24" customHeight="1">
      <c r="A45" s="148" t="s">
        <v>278</v>
      </c>
      <c r="B45" s="320"/>
      <c r="C45" s="179">
        <v>482</v>
      </c>
      <c r="D45" s="179">
        <v>510</v>
      </c>
      <c r="E45" s="223">
        <v>369</v>
      </c>
      <c r="F45" s="230">
        <v>423</v>
      </c>
      <c r="G45" s="179">
        <v>435</v>
      </c>
      <c r="H45" s="146"/>
      <c r="I45" s="146"/>
      <c r="J45" s="147"/>
      <c r="K45" s="146"/>
      <c r="L45" s="160"/>
      <c r="M45" s="146"/>
      <c r="N45" s="147"/>
      <c r="O45" s="146"/>
    </row>
    <row r="46" spans="1:15" ht="30.9">
      <c r="A46" s="136" t="s">
        <v>279</v>
      </c>
      <c r="B46" s="318" t="s">
        <v>280</v>
      </c>
      <c r="C46" s="200">
        <f>IF(C48="","",C47/C48)</f>
        <v>9.0706932485340607E-5</v>
      </c>
      <c r="D46" s="200">
        <f>IF(D48="","",D47/D48)</f>
        <v>5.4999883181319738E-3</v>
      </c>
      <c r="E46" s="200">
        <f>IF(E48="","",E47/E48)</f>
        <v>6.5415559588576165E-4</v>
      </c>
      <c r="F46" s="229">
        <f t="shared" ref="F46" si="55">IF(F48="","",F47/F48)</f>
        <v>2.6962867360166972E-3</v>
      </c>
      <c r="G46" s="187">
        <f t="shared" ref="G46" si="56">IF(G48="","",G47/G48)</f>
        <v>1.9380436940565355E-3</v>
      </c>
      <c r="H46" s="161" t="str">
        <f t="shared" ref="H46" si="57">IF(H48="","",H47/H48)</f>
        <v/>
      </c>
      <c r="I46" s="161" t="str">
        <f t="shared" ref="I46" si="58">IF(I48="","",I47/I48)</f>
        <v/>
      </c>
      <c r="J46" s="161" t="str">
        <f t="shared" ref="J46" si="59">IF(J48="","",J47/J48)</f>
        <v/>
      </c>
      <c r="K46" s="161" t="str">
        <f t="shared" ref="K46" si="60">IF(K48="","",K47/K48)</f>
        <v/>
      </c>
      <c r="L46" s="161" t="str">
        <f t="shared" ref="L46" si="61">IF(L48="","",L47/L48)</f>
        <v/>
      </c>
      <c r="M46" s="161" t="str">
        <f t="shared" ref="M46" si="62">IF(M48="","",M47/M48)</f>
        <v/>
      </c>
      <c r="N46" s="161" t="str">
        <f t="shared" ref="N46" si="63">IF(N48="","",N47/N48)</f>
        <v/>
      </c>
      <c r="O46" s="161" t="str">
        <f t="shared" ref="O46" si="64">IF(O48="","",O47/O48)</f>
        <v/>
      </c>
    </row>
    <row r="47" spans="1:15" ht="30">
      <c r="A47" s="153" t="s">
        <v>281</v>
      </c>
      <c r="B47" s="319"/>
      <c r="C47" s="199">
        <v>462.2</v>
      </c>
      <c r="D47" s="199">
        <v>28025.21</v>
      </c>
      <c r="E47" s="199">
        <v>3005.24</v>
      </c>
      <c r="F47" s="233">
        <v>12597.93</v>
      </c>
      <c r="G47" s="188">
        <v>8684.5499999999993</v>
      </c>
      <c r="H47" s="162"/>
      <c r="I47" s="162"/>
      <c r="J47" s="162"/>
      <c r="K47" s="162"/>
      <c r="L47" s="162"/>
      <c r="M47" s="162"/>
      <c r="N47" s="162"/>
      <c r="O47" s="162"/>
    </row>
    <row r="48" spans="1:15" ht="20.25" customHeight="1">
      <c r="A48" s="153" t="s">
        <v>282</v>
      </c>
      <c r="B48" s="320"/>
      <c r="C48" s="199">
        <v>5095531.1500000004</v>
      </c>
      <c r="D48" s="199">
        <v>5095503.55</v>
      </c>
      <c r="E48" s="199">
        <v>4594075.2</v>
      </c>
      <c r="F48" s="232">
        <v>4672325.7699999996</v>
      </c>
      <c r="G48" s="189">
        <v>4481090.92</v>
      </c>
      <c r="H48" s="163"/>
      <c r="I48" s="163"/>
      <c r="J48" s="163"/>
      <c r="K48" s="163"/>
      <c r="L48" s="163"/>
      <c r="M48" s="163"/>
      <c r="N48" s="163"/>
      <c r="O48" s="163"/>
    </row>
    <row r="49" spans="1:15" ht="15.45">
      <c r="A49" s="136" t="s">
        <v>283</v>
      </c>
      <c r="B49" s="318" t="s">
        <v>284</v>
      </c>
      <c r="C49" s="187">
        <f t="shared" ref="C49:D49" si="65">IF(C51="","",C50/C51)</f>
        <v>0.93084112149532705</v>
      </c>
      <c r="D49" s="187">
        <f t="shared" si="65"/>
        <v>0.92897196261682247</v>
      </c>
      <c r="E49" s="187">
        <f t="shared" ref="E49" si="66">IF(E51="","",E50/E51)</f>
        <v>0.95045871559633033</v>
      </c>
      <c r="F49" s="187">
        <f t="shared" ref="F49" si="67">IF(F51="","",F50/F51)</f>
        <v>0.94736842105263153</v>
      </c>
      <c r="G49" s="187">
        <f t="shared" ref="G49" si="68">IF(G51="","",G50/G51)</f>
        <v>0.94107142857142856</v>
      </c>
      <c r="H49" s="161" t="str">
        <f t="shared" ref="H49" si="69">IF(H51="","",H50/H51)</f>
        <v/>
      </c>
      <c r="I49" s="161" t="str">
        <f t="shared" ref="I49" si="70">IF(I51="","",I50/I51)</f>
        <v/>
      </c>
      <c r="J49" s="161" t="str">
        <f t="shared" ref="J49" si="71">IF(J51="","",J50/J51)</f>
        <v/>
      </c>
      <c r="K49" s="161" t="str">
        <f t="shared" ref="K49" si="72">IF(K51="","",K50/K51)</f>
        <v/>
      </c>
      <c r="L49" s="161" t="str">
        <f t="shared" ref="L49" si="73">IF(L51="","",L50/L51)</f>
        <v/>
      </c>
      <c r="M49" s="161" t="str">
        <f t="shared" ref="M49" si="74">IF(M51="","",M50/M51)</f>
        <v/>
      </c>
      <c r="N49" s="161" t="str">
        <f t="shared" ref="N49" si="75">IF(N51="","",N50/N51)</f>
        <v/>
      </c>
      <c r="O49" s="161" t="str">
        <f t="shared" ref="O49" si="76">IF(O51="","",O50/O51)</f>
        <v/>
      </c>
    </row>
    <row r="50" spans="1:15" ht="30">
      <c r="A50" s="153" t="s">
        <v>285</v>
      </c>
      <c r="B50" s="319"/>
      <c r="C50" s="188">
        <v>498</v>
      </c>
      <c r="D50" s="188">
        <v>497</v>
      </c>
      <c r="E50" s="188">
        <v>518</v>
      </c>
      <c r="F50" s="188">
        <v>522</v>
      </c>
      <c r="G50" s="188">
        <v>527</v>
      </c>
      <c r="H50" s="162"/>
      <c r="I50" s="162"/>
      <c r="J50" s="162"/>
      <c r="K50" s="162"/>
      <c r="L50" s="162"/>
      <c r="M50" s="162"/>
      <c r="N50" s="162"/>
      <c r="O50" s="162"/>
    </row>
    <row r="51" spans="1:15" ht="17.25" customHeight="1">
      <c r="A51" s="153" t="s">
        <v>286</v>
      </c>
      <c r="B51" s="320"/>
      <c r="C51" s="189">
        <v>535</v>
      </c>
      <c r="D51" s="189">
        <v>535</v>
      </c>
      <c r="E51" s="189">
        <v>545</v>
      </c>
      <c r="F51" s="189">
        <v>551</v>
      </c>
      <c r="G51" s="189">
        <v>560</v>
      </c>
      <c r="H51" s="163"/>
      <c r="I51" s="163"/>
      <c r="J51" s="163"/>
      <c r="K51" s="163"/>
      <c r="L51" s="163"/>
      <c r="M51" s="163"/>
      <c r="N51" s="163"/>
      <c r="O51" s="163"/>
    </row>
    <row r="52" spans="1:15" ht="20.25" customHeight="1">
      <c r="A52" s="136" t="s">
        <v>287</v>
      </c>
      <c r="B52" s="324" t="s">
        <v>288</v>
      </c>
      <c r="C52" s="187">
        <f>IF(C53="","",C53/C54)</f>
        <v>0.98237885462555063</v>
      </c>
      <c r="D52" s="187">
        <f>IF(D53="","",D53/D54)</f>
        <v>0.96602972399150744</v>
      </c>
      <c r="E52" s="187">
        <f t="shared" ref="E52:F52" si="77">IF(E54="","",E53/E54)</f>
        <v>0.98773006134969321</v>
      </c>
      <c r="F52" s="187">
        <f t="shared" si="77"/>
        <v>0.95639943741209565</v>
      </c>
      <c r="G52" s="187">
        <f>IF(G54="","",G53/G54)</f>
        <v>0.93478260869565222</v>
      </c>
      <c r="H52" s="161" t="str">
        <f t="shared" ref="H52" si="78">IF(H54="","",H53/H54)</f>
        <v/>
      </c>
      <c r="I52" s="161" t="str">
        <f t="shared" ref="I52" si="79">IF(I54="","",I53/I54)</f>
        <v/>
      </c>
      <c r="J52" s="161" t="str">
        <f t="shared" ref="J52:K52" si="80">IF(J54="","",J53/J54)</f>
        <v/>
      </c>
      <c r="K52" s="161" t="str">
        <f t="shared" si="80"/>
        <v/>
      </c>
      <c r="L52" s="161" t="str">
        <f t="shared" ref="L52" si="81">IF(L54="","",L53/L54)</f>
        <v/>
      </c>
      <c r="M52" s="161" t="str">
        <f t="shared" ref="M52" si="82">IF(M54="","",M53/M54)</f>
        <v/>
      </c>
      <c r="N52" s="161" t="str">
        <f t="shared" ref="N52:O52" si="83">IF(N54="","",N53/N54)</f>
        <v/>
      </c>
      <c r="O52" s="161" t="str">
        <f t="shared" si="83"/>
        <v/>
      </c>
    </row>
    <row r="53" spans="1:15" ht="18.75" customHeight="1">
      <c r="A53" s="148" t="s">
        <v>289</v>
      </c>
      <c r="B53" s="324"/>
      <c r="C53" s="189">
        <v>446</v>
      </c>
      <c r="D53" s="189">
        <v>455</v>
      </c>
      <c r="E53" s="188">
        <v>322</v>
      </c>
      <c r="F53" s="188">
        <v>680</v>
      </c>
      <c r="G53" s="188">
        <v>473</v>
      </c>
      <c r="H53" s="162"/>
      <c r="I53" s="162"/>
      <c r="J53" s="162"/>
      <c r="K53" s="162"/>
      <c r="L53" s="162"/>
      <c r="M53" s="162"/>
      <c r="N53" s="162"/>
      <c r="O53" s="162"/>
    </row>
    <row r="54" spans="1:15" ht="30">
      <c r="A54" s="148" t="s">
        <v>290</v>
      </c>
      <c r="B54" s="324"/>
      <c r="C54" s="179">
        <v>454</v>
      </c>
      <c r="D54" s="179">
        <v>471</v>
      </c>
      <c r="E54" s="189">
        <v>326</v>
      </c>
      <c r="F54" s="189">
        <v>711</v>
      </c>
      <c r="G54" s="189">
        <v>506</v>
      </c>
      <c r="H54" s="163"/>
      <c r="I54" s="163"/>
      <c r="J54" s="163"/>
      <c r="K54" s="163"/>
      <c r="L54" s="163"/>
      <c r="M54" s="163"/>
      <c r="N54" s="163"/>
      <c r="O54" s="163"/>
    </row>
    <row r="55" spans="1:15">
      <c r="A55" s="194"/>
      <c r="B55" s="196"/>
      <c r="C55" s="196"/>
      <c r="D55" s="197"/>
      <c r="E55" s="197"/>
      <c r="F55" s="197"/>
      <c r="G55" s="197"/>
      <c r="H55" s="195"/>
      <c r="I55" s="195"/>
      <c r="J55" s="195"/>
      <c r="K55" s="195"/>
      <c r="L55" s="195"/>
      <c r="M55" s="195"/>
      <c r="N55" s="195"/>
      <c r="O55" s="195"/>
    </row>
    <row r="56" spans="1:15" ht="15.65" customHeight="1">
      <c r="A56" s="192"/>
      <c r="B56" s="171"/>
      <c r="C56" s="171"/>
      <c r="D56" s="171"/>
      <c r="E56" s="171"/>
      <c r="F56" s="171" t="s">
        <v>116</v>
      </c>
      <c r="G56" s="171"/>
      <c r="H56" s="171"/>
      <c r="J56" s="172"/>
      <c r="K56" s="192"/>
      <c r="L56" s="193"/>
      <c r="M56" s="193"/>
      <c r="N56" s="193"/>
      <c r="O56" s="193"/>
    </row>
    <row r="57" spans="1:15" ht="15.65" customHeight="1">
      <c r="A57" s="192"/>
      <c r="B57" s="114"/>
      <c r="C57" s="114"/>
      <c r="D57" s="114"/>
      <c r="E57" s="114"/>
      <c r="F57" s="114"/>
      <c r="G57" s="114"/>
      <c r="H57" s="114"/>
      <c r="I57" s="114"/>
      <c r="J57" s="114"/>
      <c r="K57" s="192"/>
      <c r="L57" s="193"/>
      <c r="M57" s="193"/>
      <c r="N57" s="193"/>
      <c r="O57" s="193"/>
    </row>
    <row r="58" spans="1:15" ht="15.65" customHeight="1">
      <c r="A58" s="192"/>
      <c r="B58" s="114"/>
      <c r="C58" s="114"/>
      <c r="D58" s="114"/>
      <c r="E58" s="114"/>
      <c r="F58" s="114"/>
      <c r="G58" s="114"/>
      <c r="H58" s="114"/>
      <c r="I58" s="114"/>
      <c r="J58" s="114"/>
      <c r="K58" s="192"/>
      <c r="L58" s="193"/>
      <c r="M58" s="193"/>
      <c r="N58" s="193"/>
      <c r="O58" s="193"/>
    </row>
    <row r="59" spans="1:15" ht="16" customHeight="1">
      <c r="A59" s="192"/>
      <c r="B59" s="114"/>
      <c r="C59" s="217"/>
      <c r="D59" s="198"/>
      <c r="E59" s="198"/>
      <c r="F59" s="198"/>
      <c r="G59" s="198"/>
      <c r="H59" s="198"/>
      <c r="I59" s="198"/>
      <c r="J59" s="114"/>
      <c r="K59" s="192"/>
      <c r="L59" s="193"/>
      <c r="M59" s="193"/>
      <c r="N59" s="193"/>
      <c r="O59" s="193"/>
    </row>
    <row r="60" spans="1:15" ht="15.65" customHeight="1">
      <c r="A60" s="192"/>
      <c r="B60" s="245" t="s">
        <v>117</v>
      </c>
      <c r="C60" s="246"/>
      <c r="D60" s="246"/>
      <c r="E60" s="246"/>
      <c r="F60" s="246"/>
      <c r="G60" s="246"/>
      <c r="H60" s="246"/>
      <c r="I60" s="246"/>
      <c r="J60" s="245"/>
      <c r="K60" s="192"/>
      <c r="L60" s="193"/>
      <c r="M60" s="193"/>
      <c r="N60" s="193"/>
      <c r="O60" s="193"/>
    </row>
    <row r="61" spans="1:15" ht="15.65" customHeight="1">
      <c r="A61" s="192"/>
      <c r="B61" s="245" t="s">
        <v>118</v>
      </c>
      <c r="C61" s="245"/>
      <c r="D61" s="245"/>
      <c r="E61" s="245"/>
      <c r="F61" s="245"/>
      <c r="G61" s="245"/>
      <c r="H61" s="245"/>
      <c r="I61" s="245"/>
      <c r="J61" s="245"/>
      <c r="K61" s="192"/>
      <c r="L61" s="193"/>
      <c r="M61" s="193"/>
      <c r="N61" s="193"/>
      <c r="O61" s="193"/>
    </row>
    <row r="62" spans="1:15" ht="15.65" customHeight="1">
      <c r="A62" s="192"/>
      <c r="B62" s="245" t="s">
        <v>119</v>
      </c>
      <c r="C62" s="245"/>
      <c r="D62" s="245"/>
      <c r="E62" s="245"/>
      <c r="F62" s="245"/>
      <c r="G62" s="245"/>
      <c r="H62" s="245"/>
      <c r="I62" s="245"/>
      <c r="J62" s="245"/>
      <c r="K62" s="192"/>
      <c r="L62" s="193"/>
      <c r="M62" s="193"/>
      <c r="N62" s="193"/>
      <c r="O62" s="193"/>
    </row>
  </sheetData>
  <mergeCells count="21">
    <mergeCell ref="B34:B36"/>
    <mergeCell ref="B43:B45"/>
    <mergeCell ref="B46:B48"/>
    <mergeCell ref="B49:B51"/>
    <mergeCell ref="B52:B54"/>
    <mergeCell ref="A2:O2"/>
    <mergeCell ref="A3:O3"/>
    <mergeCell ref="B60:J60"/>
    <mergeCell ref="B61:J61"/>
    <mergeCell ref="B62:J62"/>
    <mergeCell ref="B37:B39"/>
    <mergeCell ref="B40:B42"/>
    <mergeCell ref="B5:B7"/>
    <mergeCell ref="B8:B10"/>
    <mergeCell ref="B11:B13"/>
    <mergeCell ref="B14:B16"/>
    <mergeCell ref="B17:B19"/>
    <mergeCell ref="B20:B24"/>
    <mergeCell ref="B25:B27"/>
    <mergeCell ref="B28:B30"/>
    <mergeCell ref="B31:B33"/>
  </mergeCells>
  <phoneticPr fontId="44" type="noConversion"/>
  <pageMargins left="0.25" right="0.25" top="0.75" bottom="0.75" header="0.3" footer="0.3"/>
  <pageSetup paperSize="9" scale="6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0318-FE16-40DA-83A2-FC668C134E81}">
  <dimension ref="A1:L62"/>
  <sheetViews>
    <sheetView topLeftCell="A7" workbookViewId="0">
      <selection activeCell="H20" sqref="H20"/>
    </sheetView>
  </sheetViews>
  <sheetFormatPr defaultRowHeight="14.6"/>
  <cols>
    <col min="1" max="1" width="24.3828125" customWidth="1"/>
    <col min="2" max="5" width="16.69140625" customWidth="1"/>
    <col min="6" max="6" width="18.15234375" bestFit="1" customWidth="1"/>
    <col min="7" max="8" width="16.69140625" customWidth="1"/>
    <col min="9" max="9" width="10.15234375" bestFit="1" customWidth="1"/>
  </cols>
  <sheetData>
    <row r="1" spans="1:11" ht="37.299999999999997">
      <c r="A1" s="1" t="s">
        <v>74</v>
      </c>
      <c r="B1" s="42" t="s">
        <v>228</v>
      </c>
      <c r="C1" s="42" t="s">
        <v>291</v>
      </c>
      <c r="D1" s="42" t="s">
        <v>292</v>
      </c>
      <c r="E1" s="41" t="s">
        <v>293</v>
      </c>
      <c r="H1" s="98" t="s">
        <v>294</v>
      </c>
      <c r="I1" s="98" t="s">
        <v>295</v>
      </c>
    </row>
    <row r="2" spans="1:11" ht="15.45">
      <c r="A2" s="20"/>
      <c r="B2" s="25">
        <v>100</v>
      </c>
      <c r="C2" s="25">
        <v>19</v>
      </c>
      <c r="D2" s="25" t="s">
        <v>296</v>
      </c>
      <c r="E2" s="97">
        <v>40</v>
      </c>
      <c r="H2" s="98">
        <v>31</v>
      </c>
      <c r="I2" s="98"/>
    </row>
    <row r="3" spans="1:11" ht="15.45">
      <c r="A3" s="20" t="s">
        <v>76</v>
      </c>
      <c r="B3" s="25">
        <v>80</v>
      </c>
      <c r="C3" s="25">
        <v>15</v>
      </c>
      <c r="D3" s="25" t="s">
        <v>297</v>
      </c>
      <c r="E3" s="20">
        <v>109</v>
      </c>
      <c r="H3" s="98"/>
      <c r="I3" s="98"/>
    </row>
    <row r="4" spans="1:11" ht="30">
      <c r="A4" s="20" t="s">
        <v>77</v>
      </c>
      <c r="B4" s="25">
        <v>20</v>
      </c>
      <c r="C4" s="25">
        <v>0</v>
      </c>
      <c r="D4" s="25">
        <v>0</v>
      </c>
      <c r="E4" s="20">
        <v>0</v>
      </c>
      <c r="H4" s="98"/>
      <c r="I4" s="98"/>
    </row>
    <row r="5" spans="1:11" ht="45">
      <c r="A5" s="20" t="s">
        <v>78</v>
      </c>
      <c r="B5" s="25">
        <v>125</v>
      </c>
      <c r="C5" s="25">
        <v>133</v>
      </c>
      <c r="D5" s="25">
        <v>0</v>
      </c>
      <c r="E5" s="20">
        <v>133</v>
      </c>
      <c r="H5" s="98"/>
      <c r="I5" s="98"/>
    </row>
    <row r="6" spans="1:11" ht="15.45">
      <c r="A6" s="20" t="s">
        <v>79</v>
      </c>
      <c r="B6" s="25">
        <v>60</v>
      </c>
      <c r="C6" s="25">
        <v>46</v>
      </c>
      <c r="D6" s="25" t="s">
        <v>298</v>
      </c>
      <c r="E6" s="20">
        <v>84</v>
      </c>
      <c r="H6" s="98"/>
      <c r="I6" s="98"/>
    </row>
    <row r="7" spans="1:11" ht="30">
      <c r="A7" s="20" t="s">
        <v>80</v>
      </c>
      <c r="B7" s="25">
        <v>80</v>
      </c>
      <c r="C7" s="25">
        <v>78</v>
      </c>
      <c r="D7" s="25" t="s">
        <v>299</v>
      </c>
      <c r="E7" s="20">
        <v>129</v>
      </c>
      <c r="H7" s="98"/>
      <c r="I7" s="98"/>
    </row>
    <row r="8" spans="1:11" ht="15.45">
      <c r="A8" s="20" t="s">
        <v>81</v>
      </c>
      <c r="B8" s="25" t="s">
        <v>22</v>
      </c>
      <c r="C8" s="25" t="s">
        <v>22</v>
      </c>
      <c r="D8" s="25" t="s">
        <v>22</v>
      </c>
      <c r="E8" s="45" t="s">
        <v>22</v>
      </c>
      <c r="H8" s="98"/>
      <c r="I8" s="98"/>
    </row>
    <row r="9" spans="1:11" ht="15.45">
      <c r="A9" s="20" t="s">
        <v>82</v>
      </c>
      <c r="B9" s="25" t="s">
        <v>22</v>
      </c>
      <c r="C9" s="25" t="s">
        <v>22</v>
      </c>
      <c r="D9" s="25" t="s">
        <v>22</v>
      </c>
      <c r="E9" s="45" t="s">
        <v>22</v>
      </c>
      <c r="H9" s="98"/>
      <c r="I9" s="98"/>
      <c r="K9" s="111"/>
    </row>
    <row r="10" spans="1:11" ht="30">
      <c r="A10" s="20" t="s">
        <v>83</v>
      </c>
      <c r="B10" s="25" t="s">
        <v>22</v>
      </c>
      <c r="C10" s="25" t="s">
        <v>22</v>
      </c>
      <c r="D10" s="25" t="s">
        <v>22</v>
      </c>
      <c r="E10" s="45" t="s">
        <v>22</v>
      </c>
      <c r="H10" s="98"/>
      <c r="I10" s="98"/>
    </row>
    <row r="11" spans="1:11" ht="15.45">
      <c r="A11" s="20" t="s">
        <v>19</v>
      </c>
      <c r="B11" s="25">
        <f t="shared" ref="B11" si="0">SUM(B2:B7)</f>
        <v>465</v>
      </c>
      <c r="C11" s="25">
        <f>SUM(C2:C10)</f>
        <v>291</v>
      </c>
      <c r="D11" s="25"/>
      <c r="E11" s="45">
        <f>SUM(E2:E7)</f>
        <v>495</v>
      </c>
      <c r="H11" s="98"/>
      <c r="I11" s="98"/>
    </row>
    <row r="18" spans="1:12">
      <c r="L18" t="s">
        <v>300</v>
      </c>
    </row>
    <row r="19" spans="1:12">
      <c r="B19" s="101" t="s">
        <v>301</v>
      </c>
      <c r="C19" s="109" t="s">
        <v>302</v>
      </c>
      <c r="D19" s="101" t="s">
        <v>303</v>
      </c>
      <c r="E19" s="101" t="s">
        <v>304</v>
      </c>
      <c r="F19" s="101" t="s">
        <v>305</v>
      </c>
      <c r="G19" s="101" t="s">
        <v>306</v>
      </c>
      <c r="H19" s="102" t="s">
        <v>307</v>
      </c>
    </row>
    <row r="20" spans="1:12" ht="15.9">
      <c r="A20" s="112" t="s">
        <v>85</v>
      </c>
      <c r="B20" s="110">
        <v>40</v>
      </c>
      <c r="C20" s="107">
        <v>19</v>
      </c>
      <c r="D20" s="103">
        <v>19</v>
      </c>
      <c r="E20" s="104">
        <f>(C20-D20)/C20</f>
        <v>0</v>
      </c>
      <c r="F20" s="103">
        <v>8</v>
      </c>
      <c r="G20" s="103">
        <v>11</v>
      </c>
      <c r="H20" s="104">
        <f>(G20/D20)</f>
        <v>0.57894736842105265</v>
      </c>
    </row>
    <row r="21" spans="1:12" ht="15.9">
      <c r="A21" s="112" t="s">
        <v>81</v>
      </c>
      <c r="B21" s="10">
        <v>109</v>
      </c>
      <c r="C21" s="108" t="s">
        <v>22</v>
      </c>
      <c r="D21" s="108" t="s">
        <v>22</v>
      </c>
      <c r="E21" s="108" t="s">
        <v>22</v>
      </c>
      <c r="F21" s="108" t="s">
        <v>22</v>
      </c>
      <c r="G21" s="108" t="s">
        <v>22</v>
      </c>
      <c r="H21" s="108" t="s">
        <v>22</v>
      </c>
    </row>
    <row r="22" spans="1:12" ht="15.9">
      <c r="A22" s="112" t="s">
        <v>76</v>
      </c>
      <c r="B22" s="10">
        <v>0</v>
      </c>
      <c r="C22" s="107">
        <v>15</v>
      </c>
      <c r="D22" s="103">
        <v>15</v>
      </c>
      <c r="E22" s="104">
        <f>(C22-D22)/C22</f>
        <v>0</v>
      </c>
      <c r="F22" s="103">
        <v>7</v>
      </c>
      <c r="G22" s="103">
        <v>8</v>
      </c>
      <c r="H22" s="104">
        <f>(G22/D22)</f>
        <v>0.53333333333333333</v>
      </c>
    </row>
    <row r="23" spans="1:12" ht="15.9">
      <c r="A23" s="112" t="s">
        <v>82</v>
      </c>
      <c r="B23" s="10">
        <v>133</v>
      </c>
      <c r="C23" s="108" t="s">
        <v>22</v>
      </c>
      <c r="D23" s="108" t="s">
        <v>22</v>
      </c>
      <c r="E23" s="108" t="s">
        <v>22</v>
      </c>
      <c r="F23" s="108" t="s">
        <v>22</v>
      </c>
      <c r="G23" s="108" t="s">
        <v>22</v>
      </c>
      <c r="H23" s="108" t="s">
        <v>22</v>
      </c>
    </row>
    <row r="24" spans="1:12" ht="15.9">
      <c r="A24" s="112" t="s">
        <v>83</v>
      </c>
      <c r="B24" s="10">
        <v>84</v>
      </c>
      <c r="C24" s="108" t="s">
        <v>22</v>
      </c>
      <c r="D24" s="108" t="s">
        <v>22</v>
      </c>
      <c r="E24" s="108" t="s">
        <v>22</v>
      </c>
      <c r="F24" s="108" t="s">
        <v>22</v>
      </c>
      <c r="G24" s="108" t="s">
        <v>22</v>
      </c>
      <c r="H24" s="108" t="s">
        <v>22</v>
      </c>
    </row>
    <row r="25" spans="1:12" ht="15.9">
      <c r="A25" s="112" t="s">
        <v>87</v>
      </c>
      <c r="B25" s="10">
        <v>129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</row>
    <row r="26" spans="1:12" ht="15.9">
      <c r="A26" s="112" t="s">
        <v>223</v>
      </c>
      <c r="B26" s="25" t="s">
        <v>22</v>
      </c>
      <c r="C26" s="107">
        <v>133</v>
      </c>
      <c r="D26" s="103">
        <v>129</v>
      </c>
      <c r="E26" s="104">
        <f>(C26-D26)/C26</f>
        <v>3.007518796992481E-2</v>
      </c>
      <c r="F26" s="103">
        <v>66</v>
      </c>
      <c r="G26" s="103">
        <v>63</v>
      </c>
      <c r="H26" s="104">
        <f>(G26/D26)</f>
        <v>0.48837209302325579</v>
      </c>
    </row>
    <row r="27" spans="1:12" ht="15.9">
      <c r="A27" s="112" t="s">
        <v>224</v>
      </c>
      <c r="B27" s="25" t="s">
        <v>22</v>
      </c>
      <c r="C27" s="107">
        <v>46</v>
      </c>
      <c r="D27" s="103">
        <v>48</v>
      </c>
      <c r="E27" s="104">
        <v>0</v>
      </c>
      <c r="F27" s="103">
        <v>25</v>
      </c>
      <c r="G27" s="103">
        <v>23</v>
      </c>
      <c r="H27" s="104">
        <f>(G27/D27)</f>
        <v>0.47916666666666669</v>
      </c>
    </row>
    <row r="28" spans="1:12" ht="15.9">
      <c r="A28" s="112" t="s">
        <v>225</v>
      </c>
      <c r="B28" s="25" t="s">
        <v>22</v>
      </c>
      <c r="C28" s="107">
        <v>78</v>
      </c>
      <c r="D28" s="103">
        <v>64</v>
      </c>
      <c r="E28" s="104">
        <f>(C28-D28)/C28</f>
        <v>0.17948717948717949</v>
      </c>
      <c r="F28" s="103">
        <v>30</v>
      </c>
      <c r="G28" s="103">
        <v>34</v>
      </c>
      <c r="H28" s="104">
        <f>(G28/D28)</f>
        <v>0.53125</v>
      </c>
    </row>
    <row r="29" spans="1:12" ht="15.45">
      <c r="A29" s="112" t="s">
        <v>206</v>
      </c>
      <c r="B29" s="25">
        <f>SUM(B20:B25)</f>
        <v>495</v>
      </c>
      <c r="C29" s="105">
        <f>SUM(C20:C28)</f>
        <v>291</v>
      </c>
      <c r="D29" s="105">
        <f>SUM(D20:D28)</f>
        <v>275</v>
      </c>
      <c r="E29" s="104">
        <f>(C29-D29)/C29</f>
        <v>5.4982817869415807E-2</v>
      </c>
      <c r="F29" s="105">
        <f>SUM(F20:F28)</f>
        <v>136</v>
      </c>
      <c r="G29" s="105">
        <f>SUM(G20:G28)</f>
        <v>139</v>
      </c>
      <c r="H29" s="104">
        <f>(G29/D29)</f>
        <v>0.50545454545454549</v>
      </c>
    </row>
    <row r="31" spans="1:12">
      <c r="B31" s="98" t="s">
        <v>308</v>
      </c>
      <c r="C31" s="101" t="s">
        <v>305</v>
      </c>
      <c r="D31" t="s">
        <v>309</v>
      </c>
    </row>
    <row r="32" spans="1:12">
      <c r="A32" s="112" t="s">
        <v>97</v>
      </c>
      <c r="B32" s="98">
        <v>3</v>
      </c>
      <c r="C32" s="98"/>
      <c r="D32" s="98">
        <f t="shared" ref="D32:D42" si="1">IF(C32="NA",B32,B32-C32)</f>
        <v>3</v>
      </c>
    </row>
    <row r="33" spans="1:7">
      <c r="A33" s="112" t="s">
        <v>85</v>
      </c>
      <c r="B33" s="98">
        <v>20</v>
      </c>
      <c r="C33" s="98">
        <f t="shared" ref="C33:C42" si="2">F20</f>
        <v>8</v>
      </c>
      <c r="D33" s="98">
        <f t="shared" si="1"/>
        <v>12</v>
      </c>
    </row>
    <row r="34" spans="1:7">
      <c r="A34" s="112" t="s">
        <v>81</v>
      </c>
      <c r="B34" s="98">
        <v>188</v>
      </c>
      <c r="C34" s="98" t="str">
        <f t="shared" si="2"/>
        <v>NA</v>
      </c>
      <c r="D34" s="98">
        <f t="shared" si="1"/>
        <v>188</v>
      </c>
    </row>
    <row r="35" spans="1:7">
      <c r="A35" s="112" t="s">
        <v>76</v>
      </c>
      <c r="B35" s="98">
        <v>65</v>
      </c>
      <c r="C35" s="98">
        <f t="shared" si="2"/>
        <v>7</v>
      </c>
      <c r="D35" s="98">
        <f t="shared" si="1"/>
        <v>58</v>
      </c>
    </row>
    <row r="36" spans="1:7">
      <c r="A36" s="112" t="s">
        <v>82</v>
      </c>
      <c r="B36" s="98">
        <v>1567</v>
      </c>
      <c r="C36" s="98" t="str">
        <f t="shared" si="2"/>
        <v>NA</v>
      </c>
      <c r="D36" s="98">
        <f t="shared" si="1"/>
        <v>1567</v>
      </c>
    </row>
    <row r="37" spans="1:7">
      <c r="A37" s="112" t="s">
        <v>83</v>
      </c>
      <c r="B37" s="98"/>
      <c r="C37" s="98" t="str">
        <f t="shared" si="2"/>
        <v>NA</v>
      </c>
      <c r="D37" s="98">
        <f t="shared" si="1"/>
        <v>0</v>
      </c>
      <c r="F37" t="s">
        <v>308</v>
      </c>
    </row>
    <row r="38" spans="1:7">
      <c r="A38" s="112" t="s">
        <v>87</v>
      </c>
      <c r="B38" s="98">
        <v>0</v>
      </c>
      <c r="C38" s="98">
        <f t="shared" si="2"/>
        <v>0</v>
      </c>
      <c r="D38" s="98">
        <f t="shared" si="1"/>
        <v>0</v>
      </c>
    </row>
    <row r="39" spans="1:7">
      <c r="A39" s="112" t="s">
        <v>223</v>
      </c>
      <c r="B39" s="98">
        <v>264</v>
      </c>
      <c r="C39" s="98">
        <f t="shared" si="2"/>
        <v>66</v>
      </c>
      <c r="D39" s="98">
        <f t="shared" si="1"/>
        <v>198</v>
      </c>
    </row>
    <row r="40" spans="1:7">
      <c r="A40" s="112" t="s">
        <v>224</v>
      </c>
      <c r="B40" s="98">
        <v>56</v>
      </c>
      <c r="C40" s="98">
        <f t="shared" si="2"/>
        <v>25</v>
      </c>
      <c r="D40" s="98">
        <f t="shared" si="1"/>
        <v>31</v>
      </c>
    </row>
    <row r="41" spans="1:7">
      <c r="A41" s="112" t="s">
        <v>225</v>
      </c>
      <c r="B41" s="98">
        <v>79</v>
      </c>
      <c r="C41" s="98">
        <f t="shared" si="2"/>
        <v>30</v>
      </c>
      <c r="D41" s="98">
        <f t="shared" si="1"/>
        <v>49</v>
      </c>
    </row>
    <row r="42" spans="1:7">
      <c r="A42" s="112" t="s">
        <v>206</v>
      </c>
      <c r="B42" s="98">
        <f>SUM(B33:B41)</f>
        <v>2239</v>
      </c>
      <c r="C42" s="98">
        <f t="shared" si="2"/>
        <v>136</v>
      </c>
      <c r="D42" s="98">
        <f t="shared" si="1"/>
        <v>2103</v>
      </c>
    </row>
    <row r="45" spans="1:7">
      <c r="B45" s="325" t="s">
        <v>310</v>
      </c>
      <c r="C45" s="325"/>
      <c r="D45" s="325"/>
      <c r="E45" s="325"/>
      <c r="F45" s="325"/>
    </row>
    <row r="46" spans="1:7">
      <c r="B46" s="100" t="s">
        <v>311</v>
      </c>
      <c r="C46" s="100" t="s">
        <v>312</v>
      </c>
      <c r="D46" s="100" t="s">
        <v>313</v>
      </c>
      <c r="E46" s="100" t="s">
        <v>314</v>
      </c>
      <c r="F46" s="100" t="s">
        <v>315</v>
      </c>
      <c r="G46" s="103" t="s">
        <v>316</v>
      </c>
    </row>
    <row r="47" spans="1:7">
      <c r="A47" s="112" t="s">
        <v>85</v>
      </c>
      <c r="B47" s="116">
        <v>1</v>
      </c>
      <c r="C47" s="116">
        <v>1</v>
      </c>
      <c r="D47" s="116">
        <v>1</v>
      </c>
      <c r="E47" s="116">
        <v>1</v>
      </c>
      <c r="F47" s="116">
        <v>1</v>
      </c>
      <c r="G47" s="103">
        <f>(B47*$B$56+C47*$C$56+D47*$D$56+E47*$E$56+F47*$F$56)</f>
        <v>19</v>
      </c>
    </row>
    <row r="48" spans="1:7">
      <c r="A48" s="112" t="s">
        <v>81</v>
      </c>
      <c r="B48" s="103" t="s">
        <v>22</v>
      </c>
      <c r="C48" s="103" t="s">
        <v>22</v>
      </c>
      <c r="D48" s="103" t="s">
        <v>22</v>
      </c>
      <c r="E48" s="103" t="s">
        <v>22</v>
      </c>
      <c r="F48" s="103" t="s">
        <v>22</v>
      </c>
      <c r="G48" s="103" t="s">
        <v>22</v>
      </c>
    </row>
    <row r="49" spans="1:7">
      <c r="A49" s="112" t="s">
        <v>76</v>
      </c>
      <c r="B49" s="103" t="s">
        <v>22</v>
      </c>
      <c r="C49" s="117">
        <v>1</v>
      </c>
      <c r="D49" s="117">
        <v>1</v>
      </c>
      <c r="E49" s="117">
        <v>1</v>
      </c>
      <c r="F49" s="117">
        <v>1</v>
      </c>
      <c r="G49" s="103">
        <f>(C49*$C$56+D49*$D$56+E49*$E$56+F49*$F$56)</f>
        <v>15</v>
      </c>
    </row>
    <row r="50" spans="1:7">
      <c r="A50" s="112" t="s">
        <v>82</v>
      </c>
      <c r="B50" s="103" t="s">
        <v>22</v>
      </c>
      <c r="C50" s="103" t="s">
        <v>22</v>
      </c>
      <c r="D50" s="103" t="s">
        <v>22</v>
      </c>
      <c r="E50" s="103" t="s">
        <v>22</v>
      </c>
      <c r="F50" s="103" t="s">
        <v>22</v>
      </c>
      <c r="G50" s="103" t="s">
        <v>22</v>
      </c>
    </row>
    <row r="51" spans="1:7">
      <c r="A51" s="112" t="s">
        <v>83</v>
      </c>
      <c r="B51" s="103" t="s">
        <v>22</v>
      </c>
      <c r="C51" s="103" t="s">
        <v>22</v>
      </c>
      <c r="D51" s="103" t="s">
        <v>22</v>
      </c>
      <c r="E51" s="103" t="s">
        <v>22</v>
      </c>
      <c r="F51" s="103" t="s">
        <v>22</v>
      </c>
      <c r="G51" s="103" t="s">
        <v>22</v>
      </c>
    </row>
    <row r="52" spans="1:7">
      <c r="A52" s="112" t="s">
        <v>87</v>
      </c>
      <c r="B52" s="103" t="s">
        <v>22</v>
      </c>
      <c r="C52" s="103" t="s">
        <v>22</v>
      </c>
      <c r="D52" s="103" t="s">
        <v>22</v>
      </c>
      <c r="E52" s="103" t="s">
        <v>22</v>
      </c>
      <c r="F52" s="103" t="s">
        <v>22</v>
      </c>
      <c r="G52" s="103" t="s">
        <v>22</v>
      </c>
    </row>
    <row r="53" spans="1:7">
      <c r="A53" s="112" t="s">
        <v>223</v>
      </c>
      <c r="B53" s="118">
        <v>7</v>
      </c>
      <c r="C53" s="118">
        <v>7</v>
      </c>
      <c r="D53" s="118">
        <v>7</v>
      </c>
      <c r="E53" s="118">
        <v>7</v>
      </c>
      <c r="F53" s="118">
        <v>7</v>
      </c>
      <c r="G53" s="103">
        <f>(B53*$B$56+C53*$C$56+D53*$D$56+E53*$E$56+F53*$F$56)</f>
        <v>133</v>
      </c>
    </row>
    <row r="54" spans="1:7">
      <c r="A54" s="112" t="s">
        <v>224</v>
      </c>
      <c r="B54" s="119">
        <v>2</v>
      </c>
      <c r="C54" s="120"/>
      <c r="D54" s="120">
        <v>4</v>
      </c>
      <c r="E54" s="120">
        <v>2</v>
      </c>
      <c r="F54" s="120">
        <v>4</v>
      </c>
      <c r="G54" s="103">
        <f>(B54*$B$56+C54*$C$56+D54*$D$56+E54*$E$56+F54*$F$56)</f>
        <v>46</v>
      </c>
    </row>
    <row r="55" spans="1:7">
      <c r="A55" s="112" t="s">
        <v>225</v>
      </c>
      <c r="B55" s="121">
        <v>5</v>
      </c>
      <c r="C55" s="121">
        <v>4</v>
      </c>
      <c r="D55" s="121">
        <v>4</v>
      </c>
      <c r="E55" s="121">
        <v>2</v>
      </c>
      <c r="F55" s="121">
        <v>4</v>
      </c>
      <c r="G55" s="103">
        <f>(B55*$B$56+C55*$C$56+D55*$D$56+E55*$E$56+F55*$F$56)</f>
        <v>74</v>
      </c>
    </row>
    <row r="56" spans="1:7">
      <c r="A56" t="s">
        <v>317</v>
      </c>
      <c r="B56" s="98">
        <v>4</v>
      </c>
      <c r="C56" s="98">
        <v>4</v>
      </c>
      <c r="D56" s="98">
        <v>4</v>
      </c>
      <c r="E56" s="98">
        <v>3</v>
      </c>
      <c r="F56" s="98">
        <v>4</v>
      </c>
    </row>
    <row r="59" spans="1:7" ht="26.15" customHeight="1"/>
    <row r="60" spans="1:7" ht="26.15" customHeight="1"/>
    <row r="61" spans="1:7" ht="26.15" customHeight="1"/>
    <row r="62" spans="1:7" ht="26.15" customHeight="1"/>
  </sheetData>
  <mergeCells count="1">
    <mergeCell ref="B45:F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BBA-9C64-49AE-8385-B1DE59DFDDD5}">
  <dimension ref="A1:I77"/>
  <sheetViews>
    <sheetView workbookViewId="0">
      <selection activeCell="I6" sqref="I6"/>
    </sheetView>
  </sheetViews>
  <sheetFormatPr defaultRowHeight="14.6"/>
  <cols>
    <col min="1" max="1" width="46.3046875" customWidth="1"/>
    <col min="2" max="2" width="15.84375" customWidth="1"/>
    <col min="4" max="4" width="9.3828125" bestFit="1" customWidth="1"/>
    <col min="6" max="6" width="49.84375" customWidth="1"/>
    <col min="9" max="9" width="16.15234375" bestFit="1" customWidth="1"/>
  </cols>
  <sheetData>
    <row r="1" spans="1:9">
      <c r="A1" s="88" t="s">
        <v>318</v>
      </c>
      <c r="B1" s="89">
        <v>2</v>
      </c>
      <c r="F1" s="88" t="s">
        <v>318</v>
      </c>
      <c r="G1" s="89">
        <v>6</v>
      </c>
    </row>
    <row r="2" spans="1:9">
      <c r="A2" s="88" t="s">
        <v>319</v>
      </c>
      <c r="B2" s="89">
        <v>67</v>
      </c>
      <c r="E2">
        <f>SUM(B1:B19)-SUM(B4,B13,B14)</f>
        <v>13968</v>
      </c>
      <c r="F2" s="88" t="s">
        <v>319</v>
      </c>
      <c r="G2" s="89">
        <v>27</v>
      </c>
    </row>
    <row r="3" spans="1:9">
      <c r="A3" s="88" t="s">
        <v>320</v>
      </c>
      <c r="B3" s="89">
        <v>19</v>
      </c>
      <c r="D3" t="s">
        <v>12</v>
      </c>
      <c r="F3" s="88" t="s">
        <v>320</v>
      </c>
      <c r="G3" s="89">
        <v>25</v>
      </c>
      <c r="I3">
        <f>SUM(G1:G19)</f>
        <v>16027</v>
      </c>
    </row>
    <row r="4" spans="1:9">
      <c r="A4" s="88" t="s">
        <v>321</v>
      </c>
      <c r="B4" s="89">
        <v>149</v>
      </c>
      <c r="D4">
        <f>SUM(B1:B19)</f>
        <v>14916</v>
      </c>
      <c r="F4" s="88" t="s">
        <v>321</v>
      </c>
      <c r="G4" s="89">
        <v>177</v>
      </c>
      <c r="I4">
        <f>SUM(G4,G14,G13)</f>
        <v>1013</v>
      </c>
    </row>
    <row r="5" spans="1:9">
      <c r="A5" s="88" t="s">
        <v>322</v>
      </c>
      <c r="B5" s="89">
        <v>52</v>
      </c>
      <c r="D5">
        <f>B4+B13+B14</f>
        <v>948</v>
      </c>
      <c r="F5" s="88" t="s">
        <v>322</v>
      </c>
      <c r="G5" s="89">
        <v>47</v>
      </c>
      <c r="I5" s="90">
        <f>I3-I4</f>
        <v>15014</v>
      </c>
    </row>
    <row r="6" spans="1:9">
      <c r="A6" s="88" t="s">
        <v>323</v>
      </c>
      <c r="B6" s="89">
        <v>1473</v>
      </c>
      <c r="D6" s="90">
        <f>D4-D5</f>
        <v>13968</v>
      </c>
      <c r="F6" s="88" t="s">
        <v>323</v>
      </c>
      <c r="G6" s="89">
        <v>1852</v>
      </c>
    </row>
    <row r="7" spans="1:9">
      <c r="A7" s="88" t="s">
        <v>324</v>
      </c>
      <c r="B7" s="89">
        <v>319</v>
      </c>
      <c r="F7" s="88" t="s">
        <v>324</v>
      </c>
      <c r="G7" s="89">
        <v>344</v>
      </c>
    </row>
    <row r="8" spans="1:9">
      <c r="A8" s="88" t="s">
        <v>325</v>
      </c>
      <c r="B8" s="89">
        <v>66</v>
      </c>
      <c r="F8" s="88" t="s">
        <v>325</v>
      </c>
      <c r="G8" s="89">
        <v>64</v>
      </c>
    </row>
    <row r="9" spans="1:9">
      <c r="A9" s="88" t="s">
        <v>326</v>
      </c>
      <c r="B9" s="89">
        <v>79</v>
      </c>
      <c r="F9" s="88" t="s">
        <v>326</v>
      </c>
      <c r="G9" s="89">
        <v>49</v>
      </c>
    </row>
    <row r="10" spans="1:9">
      <c r="A10" s="88" t="s">
        <v>318</v>
      </c>
      <c r="B10" s="89">
        <v>13</v>
      </c>
      <c r="F10" s="88" t="s">
        <v>318</v>
      </c>
      <c r="G10" s="89">
        <v>23</v>
      </c>
    </row>
    <row r="11" spans="1:9">
      <c r="A11" s="88" t="s">
        <v>319</v>
      </c>
      <c r="B11" s="89">
        <v>28</v>
      </c>
      <c r="F11" s="88" t="s">
        <v>319</v>
      </c>
      <c r="G11" s="89">
        <v>26</v>
      </c>
    </row>
    <row r="12" spans="1:9">
      <c r="A12" s="88" t="s">
        <v>320</v>
      </c>
      <c r="B12" s="89">
        <v>257</v>
      </c>
      <c r="F12" s="88" t="s">
        <v>320</v>
      </c>
      <c r="G12" s="89">
        <v>282</v>
      </c>
    </row>
    <row r="13" spans="1:9">
      <c r="A13" s="88" t="s">
        <v>321</v>
      </c>
      <c r="B13" s="89">
        <v>760</v>
      </c>
      <c r="F13" s="88" t="s">
        <v>321</v>
      </c>
      <c r="G13" s="89">
        <v>817</v>
      </c>
    </row>
    <row r="14" spans="1:9">
      <c r="A14" s="88" t="s">
        <v>327</v>
      </c>
      <c r="B14" s="89">
        <v>39</v>
      </c>
      <c r="F14" s="88" t="s">
        <v>327</v>
      </c>
      <c r="G14" s="89">
        <v>19</v>
      </c>
    </row>
    <row r="15" spans="1:9">
      <c r="A15" s="88" t="s">
        <v>322</v>
      </c>
      <c r="B15" s="89">
        <v>177</v>
      </c>
      <c r="F15" s="88" t="s">
        <v>322</v>
      </c>
      <c r="G15" s="89">
        <v>185</v>
      </c>
    </row>
    <row r="16" spans="1:9">
      <c r="A16" s="88" t="s">
        <v>323</v>
      </c>
      <c r="B16" s="89">
        <v>4408</v>
      </c>
      <c r="F16" s="88" t="s">
        <v>323</v>
      </c>
      <c r="G16" s="89">
        <v>4736</v>
      </c>
    </row>
    <row r="17" spans="1:7">
      <c r="A17" s="88" t="s">
        <v>324</v>
      </c>
      <c r="B17" s="89">
        <v>6814</v>
      </c>
      <c r="F17" s="88" t="s">
        <v>324</v>
      </c>
      <c r="G17" s="89">
        <v>7166</v>
      </c>
    </row>
    <row r="18" spans="1:7">
      <c r="A18" s="88" t="s">
        <v>325</v>
      </c>
      <c r="B18" s="89">
        <v>136</v>
      </c>
      <c r="F18" s="88" t="s">
        <v>325</v>
      </c>
      <c r="G18" s="89">
        <v>133</v>
      </c>
    </row>
    <row r="19" spans="1:7">
      <c r="A19" s="88" t="s">
        <v>326</v>
      </c>
      <c r="B19" s="89">
        <v>58</v>
      </c>
      <c r="F19" s="88" t="s">
        <v>326</v>
      </c>
      <c r="G19" s="89">
        <v>49</v>
      </c>
    </row>
    <row r="41" spans="1:1">
      <c r="A41" s="94">
        <f t="shared" ref="A41" si="0">+A42+A43</f>
        <v>274</v>
      </c>
    </row>
    <row r="42" spans="1:1">
      <c r="A42" s="95">
        <v>0</v>
      </c>
    </row>
    <row r="43" spans="1:1">
      <c r="A43" s="95">
        <v>274</v>
      </c>
    </row>
    <row r="44" spans="1:1">
      <c r="A44" s="95">
        <f t="shared" ref="A44" si="1">+A45+A46</f>
        <v>727</v>
      </c>
    </row>
    <row r="45" spans="1:1">
      <c r="A45" s="95">
        <f>26+64</f>
        <v>90</v>
      </c>
    </row>
    <row r="46" spans="1:1">
      <c r="A46" s="95">
        <v>637</v>
      </c>
    </row>
    <row r="47" spans="1:1">
      <c r="A47" s="95">
        <f t="shared" ref="A47" si="2">+A48+A49+A50</f>
        <v>56</v>
      </c>
    </row>
    <row r="48" spans="1:1">
      <c r="A48" s="95">
        <v>56</v>
      </c>
    </row>
    <row r="49" spans="1:1">
      <c r="A49" s="95">
        <v>0</v>
      </c>
    </row>
    <row r="50" spans="1:1">
      <c r="A50" s="95"/>
    </row>
    <row r="51" spans="1:1">
      <c r="A51" s="95"/>
    </row>
    <row r="52" spans="1:1">
      <c r="A52" s="95">
        <f t="shared" ref="A52" si="3">+A53+A54</f>
        <v>21</v>
      </c>
    </row>
    <row r="53" spans="1:1">
      <c r="A53" s="95">
        <v>0</v>
      </c>
    </row>
    <row r="54" spans="1:1">
      <c r="A54" s="95">
        <v>21</v>
      </c>
    </row>
    <row r="55" spans="1:1">
      <c r="A55" s="95">
        <f t="shared" ref="A55" si="4">+A56+A57</f>
        <v>121</v>
      </c>
    </row>
    <row r="56" spans="1:1">
      <c r="A56" s="95"/>
    </row>
    <row r="57" spans="1:1">
      <c r="A57" s="95">
        <v>121</v>
      </c>
    </row>
    <row r="58" spans="1:1">
      <c r="A58" s="95">
        <f t="shared" ref="A58" si="5">+A59+A60</f>
        <v>12</v>
      </c>
    </row>
    <row r="59" spans="1:1">
      <c r="A59" s="95">
        <v>0</v>
      </c>
    </row>
    <row r="60" spans="1:1">
      <c r="A60" s="95">
        <v>12</v>
      </c>
    </row>
    <row r="61" spans="1:1">
      <c r="A61" s="95">
        <f t="shared" ref="A61" si="6">+A62+A63</f>
        <v>21</v>
      </c>
    </row>
    <row r="62" spans="1:1">
      <c r="A62" s="95">
        <v>0</v>
      </c>
    </row>
    <row r="63" spans="1:1">
      <c r="A63" s="95">
        <v>21</v>
      </c>
    </row>
    <row r="64" spans="1:1">
      <c r="A64" s="95">
        <f t="shared" ref="A64" si="7">+A65+A66</f>
        <v>16</v>
      </c>
    </row>
    <row r="65" spans="1:1">
      <c r="A65" s="95">
        <v>0</v>
      </c>
    </row>
    <row r="66" spans="1:1">
      <c r="A66" s="95">
        <v>16</v>
      </c>
    </row>
    <row r="67" spans="1:1">
      <c r="A67" s="95">
        <f t="shared" ref="A67" si="8">+A68+A69</f>
        <v>19</v>
      </c>
    </row>
    <row r="68" spans="1:1">
      <c r="A68" s="95">
        <v>0</v>
      </c>
    </row>
    <row r="69" spans="1:1">
      <c r="A69" s="95">
        <v>19</v>
      </c>
    </row>
    <row r="70" spans="1:1">
      <c r="A70" s="95">
        <f t="shared" ref="A70" si="9">+A71+A72</f>
        <v>8</v>
      </c>
    </row>
    <row r="71" spans="1:1">
      <c r="A71" s="95">
        <v>1</v>
      </c>
    </row>
    <row r="72" spans="1:1">
      <c r="A72" s="95">
        <v>7</v>
      </c>
    </row>
    <row r="73" spans="1:1">
      <c r="A73" s="95">
        <f t="shared" ref="A73" si="10">+A74+A75</f>
        <v>490</v>
      </c>
    </row>
    <row r="74" spans="1:1">
      <c r="A74" s="95">
        <f>208-A45-A48-A71</f>
        <v>61</v>
      </c>
    </row>
    <row r="75" spans="1:1">
      <c r="A75" s="95">
        <v>429</v>
      </c>
    </row>
    <row r="76" spans="1:1">
      <c r="A76" s="95"/>
    </row>
    <row r="77" spans="1:1">
      <c r="A77" s="9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3193-D247-4BFD-AF3A-9D5F2B5BBE28}">
  <dimension ref="A2:I9"/>
  <sheetViews>
    <sheetView workbookViewId="0">
      <selection activeCell="I3" sqref="I3"/>
    </sheetView>
  </sheetViews>
  <sheetFormatPr defaultRowHeight="14.6"/>
  <sheetData>
    <row r="2" spans="1:9">
      <c r="A2" s="325" t="s">
        <v>328</v>
      </c>
      <c r="B2" s="325"/>
      <c r="C2" s="325"/>
    </row>
    <row r="3" spans="1:9">
      <c r="A3" t="s">
        <v>329</v>
      </c>
      <c r="D3" s="99">
        <f>SUM('Produção 2026'!$D$8:$M$8,'Produção 2026'!$C$8)</f>
        <v>5044</v>
      </c>
      <c r="I3" t="s">
        <v>330</v>
      </c>
    </row>
    <row r="4" spans="1:9">
      <c r="A4" t="s">
        <v>331</v>
      </c>
      <c r="D4" s="99">
        <v>13113</v>
      </c>
      <c r="I4" t="s">
        <v>332</v>
      </c>
    </row>
    <row r="5" spans="1:9">
      <c r="A5" t="s">
        <v>333</v>
      </c>
      <c r="D5" s="99">
        <v>794053</v>
      </c>
      <c r="I5" t="s">
        <v>334</v>
      </c>
    </row>
    <row r="6" spans="1:9">
      <c r="A6" t="s">
        <v>335</v>
      </c>
      <c r="D6" s="99">
        <v>11374</v>
      </c>
      <c r="I6" t="s">
        <v>336</v>
      </c>
    </row>
    <row r="7" spans="1:9">
      <c r="A7" t="s">
        <v>337</v>
      </c>
      <c r="D7" s="99">
        <v>24062</v>
      </c>
      <c r="I7" t="s">
        <v>338</v>
      </c>
    </row>
    <row r="8" spans="1:9">
      <c r="A8" t="s">
        <v>339</v>
      </c>
      <c r="D8" s="99">
        <v>63225</v>
      </c>
      <c r="E8" t="s">
        <v>340</v>
      </c>
      <c r="I8" t="s">
        <v>341</v>
      </c>
    </row>
    <row r="9" spans="1:9">
      <c r="A9" t="s">
        <v>339</v>
      </c>
      <c r="D9">
        <v>102049</v>
      </c>
      <c r="E9" t="s">
        <v>342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3D63-88EC-407A-9021-952CF7F6827C}">
  <dimension ref="A4:H14"/>
  <sheetViews>
    <sheetView workbookViewId="0">
      <selection activeCell="A5" sqref="A5"/>
    </sheetView>
  </sheetViews>
  <sheetFormatPr defaultRowHeight="14.6"/>
  <cols>
    <col min="1" max="1" width="46.3828125" bestFit="1" customWidth="1"/>
    <col min="2" max="2" width="22.53515625" customWidth="1"/>
    <col min="3" max="8" width="13.69140625" customWidth="1"/>
  </cols>
  <sheetData>
    <row r="4" spans="1:8">
      <c r="B4" s="101" t="s">
        <v>301</v>
      </c>
      <c r="C4" s="109" t="s">
        <v>343</v>
      </c>
      <c r="D4" s="101" t="s">
        <v>303</v>
      </c>
      <c r="E4" s="101" t="s">
        <v>304</v>
      </c>
      <c r="F4" s="101" t="s">
        <v>344</v>
      </c>
      <c r="G4" s="101" t="s">
        <v>306</v>
      </c>
      <c r="H4" s="102" t="s">
        <v>307</v>
      </c>
    </row>
    <row r="5" spans="1:8" ht="15.9">
      <c r="A5" s="106" t="s">
        <v>85</v>
      </c>
      <c r="B5" s="110">
        <v>40</v>
      </c>
      <c r="C5" s="107">
        <v>19</v>
      </c>
      <c r="D5" s="103">
        <v>19</v>
      </c>
      <c r="E5" s="104">
        <f>(C5-D5)/C5</f>
        <v>0</v>
      </c>
      <c r="F5" s="103">
        <v>8</v>
      </c>
      <c r="G5" s="103">
        <v>11</v>
      </c>
      <c r="H5" s="104">
        <f>(G5/D5)</f>
        <v>0.57894736842105265</v>
      </c>
    </row>
    <row r="6" spans="1:8" ht="15.9">
      <c r="A6" s="106" t="s">
        <v>81</v>
      </c>
      <c r="B6" s="10">
        <v>109</v>
      </c>
      <c r="C6" s="108" t="s">
        <v>22</v>
      </c>
      <c r="D6" s="108" t="s">
        <v>22</v>
      </c>
      <c r="E6" s="108" t="s">
        <v>22</v>
      </c>
      <c r="F6" s="108" t="s">
        <v>22</v>
      </c>
      <c r="G6" s="108" t="s">
        <v>22</v>
      </c>
      <c r="H6" s="108" t="s">
        <v>22</v>
      </c>
    </row>
    <row r="7" spans="1:8" ht="15.9">
      <c r="A7" s="106" t="s">
        <v>76</v>
      </c>
      <c r="B7" s="10">
        <v>0</v>
      </c>
      <c r="C7" s="107">
        <v>15</v>
      </c>
      <c r="D7" s="103">
        <v>15</v>
      </c>
      <c r="E7" s="104">
        <f>(C7-D7)/C7</f>
        <v>0</v>
      </c>
      <c r="F7" s="103">
        <v>7</v>
      </c>
      <c r="G7" s="103">
        <v>8</v>
      </c>
      <c r="H7" s="104">
        <f>(G7/D7)</f>
        <v>0.53333333333333333</v>
      </c>
    </row>
    <row r="8" spans="1:8" ht="15.9">
      <c r="A8" s="106" t="s">
        <v>82</v>
      </c>
      <c r="B8" s="10">
        <v>133</v>
      </c>
      <c r="C8" s="108" t="s">
        <v>22</v>
      </c>
      <c r="D8" s="108" t="s">
        <v>22</v>
      </c>
      <c r="E8" s="108" t="s">
        <v>22</v>
      </c>
      <c r="F8" s="108" t="s">
        <v>22</v>
      </c>
      <c r="G8" s="108" t="s">
        <v>22</v>
      </c>
      <c r="H8" s="108" t="s">
        <v>22</v>
      </c>
    </row>
    <row r="9" spans="1:8" ht="15.9">
      <c r="A9" s="106" t="s">
        <v>83</v>
      </c>
      <c r="B9" s="10">
        <v>84</v>
      </c>
      <c r="C9" s="108" t="s">
        <v>22</v>
      </c>
      <c r="D9" s="108" t="s">
        <v>22</v>
      </c>
      <c r="E9" s="108" t="s">
        <v>22</v>
      </c>
      <c r="F9" s="108" t="s">
        <v>22</v>
      </c>
      <c r="G9" s="108" t="s">
        <v>22</v>
      </c>
      <c r="H9" s="108" t="s">
        <v>22</v>
      </c>
    </row>
    <row r="10" spans="1:8" ht="15.9">
      <c r="A10" s="106" t="s">
        <v>87</v>
      </c>
      <c r="B10" s="10">
        <v>129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</row>
    <row r="11" spans="1:8" ht="15.9">
      <c r="A11" s="106" t="s">
        <v>223</v>
      </c>
      <c r="B11" s="25" t="s">
        <v>22</v>
      </c>
      <c r="C11" s="107">
        <v>133</v>
      </c>
      <c r="D11" s="103">
        <v>129</v>
      </c>
      <c r="E11" s="104">
        <f>(C11-D11)/C11</f>
        <v>3.007518796992481E-2</v>
      </c>
      <c r="F11" s="103">
        <v>66</v>
      </c>
      <c r="G11" s="103">
        <v>63</v>
      </c>
      <c r="H11" s="104">
        <f>(G11/D11)</f>
        <v>0.48837209302325579</v>
      </c>
    </row>
    <row r="12" spans="1:8" ht="15.9">
      <c r="A12" s="106" t="s">
        <v>224</v>
      </c>
      <c r="B12" s="25" t="s">
        <v>22</v>
      </c>
      <c r="C12" s="107">
        <v>46</v>
      </c>
      <c r="D12" s="103">
        <v>48</v>
      </c>
      <c r="E12" s="104">
        <v>0</v>
      </c>
      <c r="F12" s="103">
        <v>25</v>
      </c>
      <c r="G12" s="103">
        <v>23</v>
      </c>
      <c r="H12" s="104">
        <f>(G12/D12)</f>
        <v>0.47916666666666669</v>
      </c>
    </row>
    <row r="13" spans="1:8" ht="15.9">
      <c r="A13" s="106" t="s">
        <v>225</v>
      </c>
      <c r="B13" s="25" t="s">
        <v>22</v>
      </c>
      <c r="C13" s="107">
        <v>78</v>
      </c>
      <c r="D13" s="103">
        <v>64</v>
      </c>
      <c r="E13" s="104">
        <f>(C13-D13)/C13</f>
        <v>0.17948717948717949</v>
      </c>
      <c r="F13" s="103">
        <v>30</v>
      </c>
      <c r="G13" s="103">
        <v>34</v>
      </c>
      <c r="H13" s="104">
        <f>(G13/D13)</f>
        <v>0.53125</v>
      </c>
    </row>
    <row r="14" spans="1:8" ht="15.45">
      <c r="A14" s="106" t="s">
        <v>206</v>
      </c>
      <c r="B14" s="25">
        <f>SUM(B5:B10)</f>
        <v>495</v>
      </c>
      <c r="C14" s="105">
        <f>SUM(C5:C13)</f>
        <v>291</v>
      </c>
      <c r="D14" s="105">
        <f>SUM(D5:D13)</f>
        <v>275</v>
      </c>
      <c r="E14" s="104">
        <f>(C14-D14)/C14</f>
        <v>5.4982817869415807E-2</v>
      </c>
      <c r="F14" s="105">
        <f>SUM(F5:F13)</f>
        <v>136</v>
      </c>
      <c r="G14" s="105">
        <f>SUM(G5:G13)</f>
        <v>139</v>
      </c>
      <c r="H14" s="104">
        <f>(G14/D14)</f>
        <v>0.50545454545454549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3" ma:contentTypeDescription="Crie um novo documento." ma:contentTypeScope="" ma:versionID="6db3cae6c70ed98009ed5d3f125ffd24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8199c34cf2437c5c99863c20f498ce23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  <_Flow_SignoffStatus xmlns="c89db878-fa80-4a05-9395-86cde86b9c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A2EBF0-BDB4-46B9-8BA1-A47989A5B1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9db878-fa80-4a05-9395-86cde86b9cec"/>
    <ds:schemaRef ds:uri="7d07ea07-c772-45fb-8566-4c897626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5D5104-F540-4926-869F-E13A0FA45DC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d07ea07-c772-45fb-8566-4c8976260eda"/>
    <ds:schemaRef ds:uri="http://purl.org/dc/terms/"/>
    <ds:schemaRef ds:uri="http://schemas.microsoft.com/sharepoint/v3"/>
    <ds:schemaRef ds:uri="http://purl.org/dc/dcmitype/"/>
    <ds:schemaRef ds:uri="c89db878-fa80-4a05-9395-86cde86b9ce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C6F1ED-6FB9-45D9-B07D-F215CDB06D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Produção 2026</vt:lpstr>
      <vt:lpstr>Indicadores de Efetividade</vt:lpstr>
      <vt:lpstr>Indicadores de Desempenho</vt:lpstr>
      <vt:lpstr>Folha1</vt:lpstr>
      <vt:lpstr>Planilha1</vt:lpstr>
      <vt:lpstr>Planilha2</vt:lpstr>
      <vt:lpstr>Planilha3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Angela Costa Henriques de Freitas</cp:lastModifiedBy>
  <cp:revision/>
  <cp:lastPrinted>2026-05-09T22:28:59Z</cp:lastPrinted>
  <dcterms:created xsi:type="dcterms:W3CDTF">2025-01-24T12:50:00Z</dcterms:created>
  <dcterms:modified xsi:type="dcterms:W3CDTF">2026-05-09T22:31:05Z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