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Projetos CIDS/Documentos/3 Projetos CIDS/Metas/Novo Modelo 05.2025 planilha SES/Dados mês 02.2026/"/>
    </mc:Choice>
  </mc:AlternateContent>
  <xr:revisionPtr revIDLastSave="6231" documentId="8_{C2B80F24-88BA-4523-AE4D-981B9904857F}" xr6:coauthVersionLast="47" xr6:coauthVersionMax="47" xr10:uidLastSave="{B23FB5A3-1169-419E-AD46-D0A2DA6684B6}"/>
  <bookViews>
    <workbookView xWindow="28690" yWindow="-110" windowWidth="20710" windowHeight="11140" firstSheet="2" activeTab="2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3" l="1"/>
  <c r="D105" i="3"/>
  <c r="D104" i="3"/>
  <c r="D103" i="3"/>
  <c r="D102" i="3"/>
  <c r="D97" i="3"/>
  <c r="D94" i="3"/>
  <c r="D91" i="3"/>
  <c r="D88" i="3"/>
  <c r="D85" i="3"/>
  <c r="D82" i="3"/>
  <c r="D79" i="3"/>
  <c r="D76" i="3"/>
  <c r="D73" i="3"/>
  <c r="D68" i="3"/>
  <c r="D65" i="3"/>
  <c r="D62" i="3"/>
  <c r="D17" i="3"/>
  <c r="E49" i="2"/>
  <c r="D58" i="3"/>
  <c r="D54" i="3"/>
  <c r="D53" i="3"/>
  <c r="D52" i="3"/>
  <c r="D49" i="3"/>
  <c r="E37" i="2"/>
  <c r="E38" i="2"/>
  <c r="E13" i="2"/>
  <c r="E12" i="2"/>
  <c r="D134" i="1"/>
  <c r="D108" i="1"/>
  <c r="D96" i="1"/>
  <c r="D55" i="2"/>
  <c r="C55" i="2"/>
  <c r="C52" i="2"/>
  <c r="C49" i="2"/>
  <c r="C46" i="2"/>
  <c r="C43" i="2"/>
  <c r="C40" i="2"/>
  <c r="C37" i="2"/>
  <c r="C34" i="2"/>
  <c r="C28" i="2"/>
  <c r="C20" i="2"/>
  <c r="C17" i="2"/>
  <c r="C14" i="2"/>
  <c r="C11" i="2"/>
  <c r="C8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8" i="2"/>
  <c r="D38" i="2"/>
  <c r="D49" i="2"/>
  <c r="D12" i="2"/>
  <c r="D13" i="2"/>
  <c r="D11" i="2" s="1"/>
  <c r="B49" i="3"/>
  <c r="B53" i="3"/>
  <c r="B51" i="3"/>
  <c r="F49" i="3"/>
  <c r="F51" i="3" s="1"/>
  <c r="H49" i="3"/>
  <c r="H51" i="3" s="1"/>
  <c r="J49" i="3"/>
  <c r="J51" i="3" s="1"/>
  <c r="L49" i="3"/>
  <c r="L51" i="3" s="1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D51" i="3"/>
  <c r="B54" i="3"/>
  <c r="B58" i="3"/>
  <c r="F58" i="3"/>
  <c r="H58" i="3"/>
  <c r="J58" i="3"/>
  <c r="L58" i="3"/>
  <c r="N58" i="3"/>
  <c r="P58" i="3"/>
  <c r="R58" i="3"/>
  <c r="T58" i="3"/>
  <c r="V58" i="3"/>
  <c r="X58" i="3"/>
  <c r="C135" i="1"/>
  <c r="C134" i="1"/>
  <c r="C96" i="1"/>
  <c r="C34" i="1"/>
  <c r="F54" i="3"/>
  <c r="H54" i="3"/>
  <c r="J54" i="3"/>
  <c r="L54" i="3"/>
  <c r="P54" i="3"/>
  <c r="R54" i="3"/>
  <c r="T54" i="3"/>
  <c r="V54" i="3"/>
  <c r="X54" i="3"/>
  <c r="H8" i="1"/>
  <c r="I8" i="1"/>
  <c r="J8" i="1"/>
  <c r="K8" i="1"/>
  <c r="C24" i="1"/>
  <c r="D24" i="1"/>
  <c r="E24" i="1"/>
  <c r="F24" i="1"/>
  <c r="G24" i="1"/>
  <c r="H24" i="1"/>
  <c r="I24" i="1"/>
  <c r="J24" i="1"/>
  <c r="K24" i="1"/>
  <c r="C31" i="1"/>
  <c r="D31" i="1"/>
  <c r="E31" i="1"/>
  <c r="F31" i="1"/>
  <c r="G31" i="1"/>
  <c r="H31" i="1"/>
  <c r="I31" i="1"/>
  <c r="J31" i="1"/>
  <c r="K31" i="1"/>
  <c r="N31" i="1"/>
  <c r="K38" i="1"/>
  <c r="K74" i="1"/>
  <c r="K89" i="1"/>
  <c r="C123" i="1"/>
  <c r="D123" i="1"/>
  <c r="C128" i="1"/>
  <c r="D128" i="1"/>
  <c r="D8" i="2"/>
  <c r="E8" i="2"/>
  <c r="F8" i="2"/>
  <c r="G8" i="2"/>
  <c r="H8" i="2"/>
  <c r="I8" i="2"/>
  <c r="J8" i="2"/>
  <c r="K8" i="2"/>
  <c r="L8" i="2"/>
  <c r="M8" i="2"/>
  <c r="N8" i="2"/>
  <c r="O8" i="2"/>
  <c r="O15" i="2" s="1"/>
  <c r="E11" i="2"/>
  <c r="F11" i="2"/>
  <c r="G11" i="2"/>
  <c r="H11" i="2"/>
  <c r="I11" i="2"/>
  <c r="J11" i="2"/>
  <c r="K11" i="2"/>
  <c r="L11" i="2"/>
  <c r="M11" i="2"/>
  <c r="N11" i="2"/>
  <c r="O11" i="2"/>
  <c r="E17" i="2"/>
  <c r="F17" i="2"/>
  <c r="G17" i="2"/>
  <c r="H17" i="2"/>
  <c r="I17" i="2"/>
  <c r="J17" i="2"/>
  <c r="K17" i="2"/>
  <c r="L17" i="2"/>
  <c r="M17" i="2"/>
  <c r="N17" i="2"/>
  <c r="O17" i="2"/>
  <c r="D17" i="2"/>
  <c r="E20" i="2"/>
  <c r="F20" i="2"/>
  <c r="G20" i="2"/>
  <c r="H20" i="2"/>
  <c r="I20" i="2"/>
  <c r="J20" i="2"/>
  <c r="K20" i="2"/>
  <c r="L20" i="2"/>
  <c r="M20" i="2"/>
  <c r="N20" i="2"/>
  <c r="O20" i="2"/>
  <c r="D20" i="2"/>
  <c r="E34" i="2"/>
  <c r="F34" i="2"/>
  <c r="G34" i="2"/>
  <c r="H34" i="2"/>
  <c r="I34" i="2"/>
  <c r="J34" i="2"/>
  <c r="K34" i="2"/>
  <c r="L34" i="2"/>
  <c r="M34" i="2"/>
  <c r="N34" i="2"/>
  <c r="O34" i="2"/>
  <c r="D34" i="2"/>
  <c r="F37" i="2"/>
  <c r="G37" i="2"/>
  <c r="H37" i="2"/>
  <c r="I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E43" i="2"/>
  <c r="F43" i="2"/>
  <c r="G43" i="2"/>
  <c r="H43" i="2"/>
  <c r="I43" i="2"/>
  <c r="J43" i="2"/>
  <c r="K43" i="2"/>
  <c r="L43" i="2"/>
  <c r="M43" i="2"/>
  <c r="N43" i="2"/>
  <c r="O43" i="2"/>
  <c r="D43" i="2"/>
  <c r="F49" i="2"/>
  <c r="G49" i="2"/>
  <c r="H49" i="2"/>
  <c r="I49" i="2"/>
  <c r="J49" i="2"/>
  <c r="K49" i="2"/>
  <c r="L49" i="2"/>
  <c r="M49" i="2"/>
  <c r="N49" i="2"/>
  <c r="O49" i="2"/>
  <c r="E52" i="2"/>
  <c r="F52" i="2"/>
  <c r="G52" i="2"/>
  <c r="H52" i="2"/>
  <c r="I52" i="2"/>
  <c r="J52" i="2"/>
  <c r="K52" i="2"/>
  <c r="L52" i="2"/>
  <c r="M52" i="2"/>
  <c r="N52" i="2"/>
  <c r="O52" i="2"/>
  <c r="D52" i="2"/>
  <c r="H55" i="2"/>
  <c r="I55" i="2"/>
  <c r="J55" i="2"/>
  <c r="K55" i="2"/>
  <c r="L55" i="2"/>
  <c r="M55" i="2"/>
  <c r="N55" i="2"/>
  <c r="O55" i="2"/>
  <c r="E55" i="2"/>
  <c r="F55" i="2"/>
  <c r="D46" i="2"/>
  <c r="E46" i="2"/>
  <c r="F46" i="2"/>
  <c r="K46" i="2"/>
  <c r="L46" i="2"/>
  <c r="M46" i="2"/>
  <c r="N46" i="2"/>
  <c r="O46" i="2"/>
  <c r="I16" i="2"/>
  <c r="I14" i="2" s="1"/>
  <c r="I15" i="2"/>
  <c r="B74" i="1"/>
  <c r="B62" i="1"/>
  <c r="C100" i="1"/>
  <c r="N89" i="1"/>
  <c r="N140" i="1"/>
  <c r="O16" i="2"/>
  <c r="O28" i="2"/>
  <c r="N128" i="1"/>
  <c r="N123" i="1"/>
  <c r="N24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B97" i="3" l="1"/>
  <c r="B104" i="3" s="1"/>
  <c r="O14" i="2"/>
  <c r="E14" i="7"/>
  <c r="H14" i="7"/>
  <c r="M114" i="1" l="1"/>
  <c r="M100" i="1"/>
  <c r="M28" i="2"/>
  <c r="M128" i="1"/>
  <c r="M123" i="1"/>
  <c r="M74" i="1"/>
  <c r="M62" i="1"/>
  <c r="N62" i="1"/>
  <c r="M31" i="1"/>
  <c r="M24" i="1"/>
  <c r="N16" i="2"/>
  <c r="N15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6" i="2"/>
  <c r="L16" i="2"/>
  <c r="M15" i="2"/>
  <c r="L15" i="2"/>
  <c r="N14" i="2" l="1"/>
  <c r="L14" i="2"/>
  <c r="M14" i="2"/>
  <c r="N28" i="2"/>
  <c r="L128" i="1"/>
  <c r="L123" i="1"/>
  <c r="L89" i="1"/>
  <c r="L100" i="1"/>
  <c r="L31" i="1"/>
  <c r="L24" i="1"/>
  <c r="L8" i="1"/>
  <c r="E100" i="1"/>
  <c r="F100" i="1"/>
  <c r="G100" i="1"/>
  <c r="H100" i="1"/>
  <c r="I100" i="1"/>
  <c r="J100" i="1"/>
  <c r="K100" i="1"/>
  <c r="K140" i="1"/>
  <c r="K128" i="1"/>
  <c r="K123" i="1"/>
  <c r="K114" i="1"/>
  <c r="E28" i="2"/>
  <c r="I28" i="2"/>
  <c r="J28" i="2"/>
  <c r="K28" i="2"/>
  <c r="L28" i="2"/>
  <c r="K62" i="1"/>
  <c r="K16" i="2"/>
  <c r="K15" i="2"/>
  <c r="J140" i="1"/>
  <c r="J114" i="1"/>
  <c r="J89" i="1"/>
  <c r="J62" i="1"/>
  <c r="J128" i="1"/>
  <c r="J123" i="1"/>
  <c r="K14" i="2" l="1"/>
  <c r="J46" i="2"/>
  <c r="J15" i="2"/>
  <c r="I140" i="1"/>
  <c r="I128" i="1"/>
  <c r="I123" i="1"/>
  <c r="I114" i="1"/>
  <c r="I89" i="1"/>
  <c r="I74" i="1"/>
  <c r="I62" i="1"/>
  <c r="I46" i="2"/>
  <c r="H128" i="1"/>
  <c r="H123" i="1"/>
  <c r="E74" i="1"/>
  <c r="D74" i="1"/>
  <c r="D16" i="2"/>
  <c r="D14" i="2" s="1"/>
  <c r="F16" i="2"/>
  <c r="F14" i="2" s="1"/>
  <c r="G16" i="2"/>
  <c r="G14" i="2" s="1"/>
  <c r="H16" i="2"/>
  <c r="H14" i="2" s="1"/>
  <c r="E16" i="2"/>
  <c r="H15" i="2"/>
  <c r="G15" i="2"/>
  <c r="F15" i="2"/>
  <c r="F28" i="2"/>
  <c r="G62" i="1"/>
  <c r="H46" i="2"/>
  <c r="H28" i="2"/>
  <c r="E14" i="2" l="1"/>
  <c r="D45" i="3" s="1"/>
  <c r="J16" i="2"/>
  <c r="J14" i="2" s="1"/>
  <c r="G114" i="1"/>
  <c r="G128" i="1"/>
  <c r="G123" i="1"/>
  <c r="F8" i="1"/>
  <c r="F62" i="1"/>
  <c r="G55" i="2"/>
  <c r="G46" i="2"/>
  <c r="G28" i="2"/>
  <c r="F128" i="1"/>
  <c r="F123" i="1"/>
  <c r="F114" i="1"/>
  <c r="H114" i="1"/>
  <c r="L114" i="1"/>
  <c r="N114" i="1"/>
  <c r="D114" i="1"/>
  <c r="E114" i="1"/>
  <c r="C114" i="1"/>
  <c r="B89" i="1"/>
  <c r="B38" i="1"/>
  <c r="B8" i="1"/>
  <c r="E128" i="1" l="1"/>
  <c r="E123" i="1"/>
  <c r="C140" i="1"/>
  <c r="D140" i="1"/>
  <c r="E140" i="1"/>
  <c r="F140" i="1"/>
  <c r="G140" i="1"/>
  <c r="H140" i="1"/>
  <c r="L140" i="1"/>
  <c r="M140" i="1"/>
  <c r="D100" i="1"/>
  <c r="N100" i="1"/>
  <c r="C89" i="1"/>
  <c r="D89" i="1"/>
  <c r="E89" i="1"/>
  <c r="F89" i="1"/>
  <c r="G89" i="1"/>
  <c r="H89" i="1"/>
  <c r="M89" i="1"/>
  <c r="F74" i="1"/>
  <c r="F38" i="1" s="1"/>
  <c r="G74" i="1"/>
  <c r="G38" i="1" s="1"/>
  <c r="H74" i="1"/>
  <c r="J74" i="1"/>
  <c r="L74" i="1"/>
  <c r="N74" i="1"/>
  <c r="C74" i="1"/>
  <c r="C35" i="1" s="1"/>
  <c r="D62" i="1"/>
  <c r="D38" i="1" s="1"/>
  <c r="E62" i="1"/>
  <c r="E38" i="1" s="1"/>
  <c r="H62" i="1"/>
  <c r="L62" i="1"/>
  <c r="M38" i="1"/>
  <c r="C62" i="1"/>
  <c r="C38" i="1" s="1"/>
  <c r="H38" i="1"/>
  <c r="I38" i="1"/>
  <c r="J38" i="1"/>
  <c r="L38" i="1"/>
  <c r="N38" i="1"/>
  <c r="C8" i="1"/>
  <c r="D8" i="1"/>
  <c r="E8" i="1"/>
  <c r="G8" i="1"/>
  <c r="M8" i="1"/>
  <c r="N8" i="1"/>
  <c r="D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[Threaded comment]
Your version of Excel allows you to read this threaded comment; however, any edits to it will get removed if the file is opened in a newer version of Excel. Learn more: https://go.microsoft.com/fwlink/?linkid=870924
Comment: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<sst xmlns="http://schemas.openxmlformats.org/spreadsheetml/2006/main" count="1251" uniqueCount="346">
  <si>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</si>
  <si>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</si>
  <si>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</si>
  <si>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</si>
  <si>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</si>
  <si>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</si>
  <si>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</si>
  <si>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</si>
  <si>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</si>
  <si>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</si>
  <si>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</si>
  <si>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</si>
  <si>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</si>
  <si>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</si>
  <si>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</si>
  <si>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</si>
  <si>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</si>
  <si>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</si>
  <si>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</si>
  <si>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</si>
  <si>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</si>
  <si>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</si>
  <si>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</si>
  <si>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</si>
  <si>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</si>
  <si>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</si>
  <si>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</si>
  <si>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</si>
  <si>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</si>
  <si>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</si>
  <si>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</si>
  <si>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</si>
  <si>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</si>
  <si>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</si>
  <si>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</si>
  <si>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</si>
  <si>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</si>
  <si>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</si>
  <si>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</si>
  <si>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</si>
  <si>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</si>
  <si>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</si>
  <si>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</si>
  <si>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</si>
  <si>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</si>
  <si>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</si>
  <si>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</si>
  <si>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</si>
  <si>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</si>
  <si>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</si>
  <si>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</si>
  <si>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</si>
  <si>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</si>
  <si>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</si>
  <si>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</si>
  <si>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</si>
  <si>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</si>
  <si>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</si>
  <si>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</si>
  <si>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</si>
  <si>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</si>
  <si>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</si>
  <si>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</si>
  <si>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</si>
  <si>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</si>
  <si>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</si>
  <si>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</si>
  <si>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</si>
  <si>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</si>
  <si>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</si>
  <si>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</si>
  <si>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</si>
  <si>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</si>
  <si>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</si>
  <si>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</si>
  <si>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</si>
  <si>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</si>
  <si>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</si>
  <si>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</si>
  <si>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</si>
  <si>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</si>
  <si>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</si>
  <si>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</si>
  <si>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</si>
  <si>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</si>
  <si>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</si>
  <si>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</si>
  <si>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</si>
  <si>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</si>
  <si>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</si>
  <si>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</si>
  <si>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</si>
  <si>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</si>
  <si>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</si>
  <si>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</si>
  <si>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</si>
  <si>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</si>
  <si>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</si>
  <si>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</si>
  <si>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</si>
  <si>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</si>
  <si>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</si>
  <si>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</si>
  <si>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</si>
  <si>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</si>
  <si>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</si>
  <si>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</si>
  <si>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</si>
  <si>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</si>
  <si>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</si>
  <si>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</si>
  <si>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</si>
  <si>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</si>
  <si>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</si>
  <si>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PROJETO ANGELS</t>
  </si>
  <si>
    <t>Atendimentos AVC</t>
  </si>
  <si>
    <t>Goiânia-Go, 10 de março de 2026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</si>
  <si>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</si>
  <si>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</si>
  <si>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</si>
  <si>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</si>
  <si>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</si>
  <si>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</si>
  <si>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</si>
  <si>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</si>
  <si>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</si>
  <si>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</si>
  <si>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</si>
  <si>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</si>
  <si>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</si>
  <si>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</si>
  <si>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</si>
  <si>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</si>
  <si>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</si>
  <si>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</si>
  <si>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</si>
  <si>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</si>
  <si>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</si>
  <si>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</si>
  <si>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</si>
  <si>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</si>
  <si>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</si>
  <si>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</si>
  <si>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</si>
  <si>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</si>
  <si>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</si>
  <si>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</si>
  <si>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</si>
  <si>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</si>
  <si>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</si>
  <si>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</si>
  <si>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</si>
  <si>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</si>
  <si>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</si>
  <si>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</si>
  <si>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</si>
  <si>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</si>
  <si>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</si>
  <si>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</si>
  <si>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</si>
  <si>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</si>
  <si>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</si>
  <si>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</si>
  <si>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</si>
  <si>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</si>
  <si>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</si>
  <si>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</si>
  <si>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</si>
  <si>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</si>
  <si>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</si>
  <si>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</si>
  <si>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</si>
  <si>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</si>
  <si>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</si>
  <si>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</si>
  <si>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</si>
  <si>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</si>
  <si>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</si>
  <si>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</si>
  <si>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</si>
  <si>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</si>
  <si>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</si>
  <si>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</si>
  <si>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</si>
  <si>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</si>
  <si>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</si>
  <si>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</si>
  <si>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</si>
  <si>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</si>
  <si>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</si>
  <si>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</si>
  <si>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</si>
  <si>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</si>
  <si>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</si>
  <si>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</si>
  <si>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</si>
  <si>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</si>
  <si>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</si>
  <si>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</si>
  <si>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</si>
  <si>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</si>
  <si>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</si>
  <si>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</si>
  <si>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</si>
  <si>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</si>
  <si>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</si>
  <si>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</si>
  <si>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</si>
  <si>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</si>
  <si>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</si>
  <si>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</si>
  <si>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</si>
  <si>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</si>
  <si>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</rPr>
      <t>Indicador de Gestão Ambulatorial</t>
    </r>
    <r>
      <rPr>
        <b/>
        <sz val="12"/>
        <color rgb="FFFF0000"/>
        <rFont val="Arial"/>
      </rPr>
      <t xml:space="preserve"> </t>
    </r>
    <r>
      <rPr>
        <b/>
        <sz val="12"/>
        <color rgb="FF000000"/>
        <rFont val="Arial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</si>
  <si>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</si>
  <si>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</si>
  <si>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</si>
  <si>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</si>
  <si>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</si>
  <si>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</si>
  <si>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</si>
  <si>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</si>
  <si>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</si>
  <si>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</si>
  <si>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</si>
  <si>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</si>
  <si>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Indicadores de Desempenho 2025 / Termo de Colaboração nº 97/2024 - SES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</si>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</sst>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sz val="11"/>
      <color theme="1"/>
      <name val="Arial"/>
    </font>
    <font>
      <sz val="12"/>
      <name val="Arial"/>
      <charset val="1"/>
    </font>
    <font>
      <b/>
      <sz val="12"/>
      <color rgb="FF000000"/>
      <name val="Arial"/>
      <charset val="1"/>
    </font>
    <font>
      <sz val="12"/>
      <color theme="1"/>
      <name val="Arial"/>
    </font>
    <font>
      <b/>
      <sz val="12"/>
      <name val="Arial"/>
    </font>
    <font>
      <sz val="12"/>
      <name val="Arial"/>
    </font>
    <font>
      <sz val="8"/>
      <name val="Calibri"/>
      <family val="2"/>
      <scheme val="minor"/>
    </font>
    <font>
      <sz val="8"/>
      <color rgb="FF201F35"/>
      <name val="Arial"/>
      <charset val="1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0" fontId="40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14" borderId="8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1" fillId="0" borderId="15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2" fillId="0" borderId="16" xfId="0" applyFont="1" applyBorder="1"/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47" fillId="0" borderId="0" xfId="0" applyFont="1"/>
    <xf numFmtId="0" fontId="43" fillId="0" borderId="1" xfId="0" applyFont="1" applyBorder="1" applyAlignment="1">
      <alignment horizontal="center" vertical="center"/>
    </xf>
    <xf numFmtId="3" fontId="43" fillId="0" borderId="1" xfId="0" applyNumberFormat="1" applyFont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0" fontId="4" fillId="18" borderId="1" xfId="1" applyNumberFormat="1" applyFont="1" applyFill="1" applyBorder="1" applyAlignment="1">
      <alignment horizontal="center" vertical="center"/>
    </xf>
    <xf numFmtId="10" fontId="48" fillId="0" borderId="1" xfId="1" applyNumberFormat="1" applyFont="1" applyBorder="1" applyAlignment="1">
      <alignment horizontal="center" vertical="center"/>
    </xf>
    <xf numFmtId="165" fontId="43" fillId="18" borderId="1" xfId="0" applyNumberFormat="1" applyFont="1" applyFill="1" applyBorder="1" applyAlignment="1">
      <alignment horizontal="center" vertical="center" wrapText="1"/>
    </xf>
    <xf numFmtId="165" fontId="48" fillId="18" borderId="1" xfId="0" applyNumberFormat="1" applyFont="1" applyFill="1" applyBorder="1" applyAlignment="1">
      <alignment horizontal="center" vertical="center" wrapText="1"/>
    </xf>
    <xf numFmtId="10" fontId="48" fillId="18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10" fontId="44" fillId="20" borderId="1" xfId="0" applyNumberFormat="1" applyFont="1" applyFill="1" applyBorder="1" applyAlignment="1">
      <alignment horizontal="center" vertical="center" wrapText="1"/>
    </xf>
    <xf numFmtId="10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 shrinkToFi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0" fontId="45" fillId="18" borderId="1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4" fillId="20" borderId="1" xfId="0" applyFont="1" applyFill="1" applyBorder="1" applyAlignment="1">
      <alignment horizontal="center" vertical="center" wrapText="1"/>
    </xf>
    <xf numFmtId="9" fontId="45" fillId="18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2" fillId="14" borderId="8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E1C6F5"/>
      <color rgb="FFF5BCB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69057</xdr:rowOff>
    </xdr:from>
    <xdr:to>
      <xdr:col>13</xdr:col>
      <xdr:colOff>764382</xdr:colOff>
      <xdr:row>0</xdr:row>
      <xdr:rowOff>1009651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9F626E29-F0E5-4698-A12E-BD319A4D98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8175" y="69057"/>
          <a:ext cx="7765257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107157</xdr:colOff>
      <xdr:row>0</xdr:row>
      <xdr:rowOff>166688</xdr:rowOff>
    </xdr:from>
    <xdr:to>
      <xdr:col>0</xdr:col>
      <xdr:colOff>1723228</xdr:colOff>
      <xdr:row>1</xdr:row>
      <xdr:rowOff>26988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D2335B-8433-4BC7-968D-EB33B23053FB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157" y="166688"/>
          <a:ext cx="1616071" cy="90805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250030</xdr:colOff>
      <xdr:row>0</xdr:row>
      <xdr:rowOff>166687</xdr:rowOff>
    </xdr:from>
    <xdr:to>
      <xdr:col>0</xdr:col>
      <xdr:colOff>1869276</xdr:colOff>
      <xdr:row>1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6249A1-7D8F-4A46-A1DF-54FF8CAD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030" y="166687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9</xdr:col>
      <xdr:colOff>226785</xdr:colOff>
      <xdr:row>0</xdr:row>
      <xdr:rowOff>45357</xdr:rowOff>
    </xdr:from>
    <xdr:to>
      <xdr:col>23</xdr:col>
      <xdr:colOff>138227</xdr:colOff>
      <xdr:row>0</xdr:row>
      <xdr:rowOff>985951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978939D-6C28-4CE3-8C5B-E545586A09E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44428" y="45357"/>
          <a:ext cx="9109870" cy="94059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15</xdr:col>
      <xdr:colOff>145256</xdr:colOff>
      <xdr:row>1</xdr:row>
      <xdr:rowOff>28575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33BE878-387C-48C9-B349-8B45B52223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0"/>
          <a:ext cx="8336756" cy="904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1733546</xdr:colOff>
      <xdr:row>1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D51936-8F2B-4286-9787-E7FD6F9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4300" y="0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6</xdr:col>
      <xdr:colOff>495300</xdr:colOff>
      <xdr:row>3</xdr:row>
      <xdr:rowOff>28575</xdr:rowOff>
    </xdr:from>
    <xdr:to>
      <xdr:col>15</xdr:col>
      <xdr:colOff>9525</xdr:colOff>
      <xdr:row>3</xdr:row>
      <xdr:rowOff>971550</xdr:rowOff>
    </xdr:to>
    <xdr:pic>
      <xdr:nvPicPr>
        <xdr:cNvPr id="11" name="Imagem 4">
          <a:extLst>
            <a:ext uri="{FF2B5EF4-FFF2-40B4-BE49-F238E27FC236}">
              <a16:creationId xmlns:a16="http://schemas.microsoft.com/office/drawing/2014/main" id="{1E301401-F1A4-4B4F-951C-7715D822AF59}"/>
            </a:ext>
            <a:ext uri="{147F2762-F138-4A5C-976F-8EAC2B608ADB}">
              <a16:predDERef xmlns:a16="http://schemas.microsoft.com/office/drawing/2014/main" pred="{7CD51936-8F2B-4286-9787-E7FD6F93C68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63100" y="1343025"/>
          <a:ext cx="5248275" cy="9429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78582</xdr:colOff>
      <xdr:row>3</xdr:row>
      <xdr:rowOff>23813</xdr:rowOff>
    </xdr:from>
    <xdr:to>
      <xdr:col>0</xdr:col>
      <xdr:colOff>1697828</xdr:colOff>
      <xdr:row>3</xdr:row>
      <xdr:rowOff>935038</xdr:rowOff>
    </xdr:to>
    <xdr:pic>
      <xdr:nvPicPr>
        <xdr:cNvPr id="12" name="Imagem 3">
          <a:extLst>
            <a:ext uri="{FF2B5EF4-FFF2-40B4-BE49-F238E27FC236}">
              <a16:creationId xmlns:a16="http://schemas.microsoft.com/office/drawing/2014/main" id="{F8122E43-4959-4A3E-9791-40143A3CC474}"/>
            </a:ext>
            <a:ext uri="{147F2762-F138-4A5C-976F-8EAC2B608ADB}">
              <a16:predDERef xmlns:a16="http://schemas.microsoft.com/office/drawing/2014/main" pred="{1E301401-F1A4-4B4F-951C-7715D822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582" y="1338263"/>
          <a:ext cx="1619246" cy="911225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4"/>
  <sheetViews>
    <sheetView zoomScale="80" zoomScaleNormal="80" workbookViewId="0">
      <pane xSplit="1" topLeftCell="B1" activePane="topRight" state="frozen"/>
      <selection pane="topRight" activeCell="D16" sqref="D16:D17"/>
    </sheetView>
  </sheetViews>
  <sheetFormatPr defaultColWidth="9.140625" defaultRowHeight="15" customHeight="1"/>
  <cols>
    <col min="1" max="1" width="54.85546875" style="16" customWidth="1"/>
    <col min="2" max="2" width="16.140625" style="16" customWidth="1"/>
    <col min="3" max="3" width="11.42578125" style="16" customWidth="1"/>
    <col min="4" max="4" width="11.5703125" style="16" bestFit="1" customWidth="1"/>
    <col min="5" max="5" width="10" style="16" customWidth="1"/>
    <col min="6" max="6" width="10.28515625" style="16" customWidth="1"/>
    <col min="7" max="7" width="9.85546875" style="16" customWidth="1"/>
    <col min="8" max="8" width="9.5703125" style="16" customWidth="1"/>
    <col min="9" max="10" width="9.85546875" style="16" customWidth="1"/>
    <col min="11" max="11" width="11" style="16" bestFit="1" customWidth="1"/>
    <col min="12" max="12" width="9.7109375" style="16" bestFit="1" customWidth="1"/>
    <col min="13" max="13" width="11.7109375" style="16" bestFit="1" customWidth="1"/>
    <col min="14" max="14" width="11.5703125" style="16" customWidth="1"/>
    <col min="15" max="15" width="11.42578125" style="23" bestFit="1" customWidth="1"/>
    <col min="16" max="19" width="12.42578125" style="23" bestFit="1" customWidth="1"/>
    <col min="20" max="174" width="9.140625" style="23"/>
    <col min="175" max="16384" width="9.140625" style="16"/>
  </cols>
  <sheetData>
    <row r="1" spans="1:15" ht="82.5" customHeight="1">
      <c r="A1" s="135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</row>
    <row r="2" spans="1:15" ht="15" customHeight="1">
      <c r="A2" s="246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15" ht="18" customHeight="1">
      <c r="A3" s="249" t="s">
        <v>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1"/>
    </row>
    <row r="4" spans="1:15" ht="44.25" customHeight="1">
      <c r="A4" s="20" t="s">
        <v>2</v>
      </c>
      <c r="B4" s="45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15</v>
      </c>
      <c r="O4" s="83"/>
    </row>
    <row r="5" spans="1:15" ht="20.25" customHeight="1">
      <c r="A5" s="2" t="s">
        <v>16</v>
      </c>
      <c r="B5" s="217">
        <v>1118</v>
      </c>
      <c r="C5" s="10">
        <v>853</v>
      </c>
      <c r="D5" s="10">
        <v>749</v>
      </c>
      <c r="E5" s="10"/>
      <c r="F5" s="10"/>
      <c r="G5" s="10"/>
      <c r="H5" s="10"/>
      <c r="I5" s="21"/>
      <c r="J5" s="10"/>
      <c r="K5" s="10"/>
      <c r="L5" s="54"/>
      <c r="M5" s="10"/>
      <c r="N5" s="10"/>
    </row>
    <row r="6" spans="1:15" ht="21.75" customHeight="1">
      <c r="A6" s="2" t="s">
        <v>17</v>
      </c>
      <c r="B6" s="217">
        <v>328</v>
      </c>
      <c r="C6" s="10">
        <v>274</v>
      </c>
      <c r="D6" s="10">
        <v>254</v>
      </c>
      <c r="E6" s="10"/>
      <c r="F6" s="10"/>
      <c r="G6" s="10"/>
      <c r="H6" s="10"/>
      <c r="I6" s="21"/>
      <c r="J6" s="10"/>
      <c r="K6" s="10"/>
      <c r="L6" s="10"/>
      <c r="M6" s="10"/>
      <c r="N6" s="10"/>
    </row>
    <row r="7" spans="1:15" ht="21" customHeight="1">
      <c r="A7" s="3" t="s">
        <v>18</v>
      </c>
      <c r="B7" s="217">
        <v>46</v>
      </c>
      <c r="C7" s="10">
        <v>146</v>
      </c>
      <c r="D7" s="10">
        <v>113</v>
      </c>
      <c r="E7" s="10"/>
      <c r="F7" s="10"/>
      <c r="G7" s="10"/>
      <c r="H7" s="10"/>
      <c r="I7" s="21"/>
      <c r="J7" s="10"/>
      <c r="K7" s="10"/>
      <c r="L7" s="10"/>
      <c r="M7" s="10"/>
      <c r="N7" s="10"/>
    </row>
    <row r="8" spans="1:15" ht="21" customHeight="1">
      <c r="A8" s="3" t="s">
        <v>19</v>
      </c>
      <c r="B8" s="217">
        <f>SUM(B5:B7)</f>
        <v>1492</v>
      </c>
      <c r="C8" s="25">
        <f t="shared" ref="C8" si="0">SUM(C5:C7)</f>
        <v>1273</v>
      </c>
      <c r="D8" s="25">
        <f>SUM(D5:D7)</f>
        <v>1116</v>
      </c>
      <c r="E8" s="25">
        <f>SUM(E5:E7)</f>
        <v>0</v>
      </c>
      <c r="F8" s="25">
        <f>SUM(F5:F7)</f>
        <v>0</v>
      </c>
      <c r="G8" s="25">
        <f>SUM(G5:G7)</f>
        <v>0</v>
      </c>
      <c r="H8" s="46">
        <f t="shared" ref="H8:K8" si="1">SUM(H5:H7)</f>
        <v>0</v>
      </c>
      <c r="I8" s="46">
        <f t="shared" si="1"/>
        <v>0</v>
      </c>
      <c r="J8" s="46">
        <f t="shared" si="1"/>
        <v>0</v>
      </c>
      <c r="K8" s="46">
        <f t="shared" si="1"/>
        <v>0</v>
      </c>
      <c r="L8" s="46">
        <f>SUM(L5:L7)</f>
        <v>0</v>
      </c>
      <c r="M8" s="46">
        <f>SUM(M5:M7)</f>
        <v>0</v>
      </c>
      <c r="N8" s="46">
        <f>SUM(N5:N7)</f>
        <v>0</v>
      </c>
      <c r="O8" s="83"/>
    </row>
    <row r="9" spans="1:15" ht="9.75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5" ht="39">
      <c r="A10" s="4" t="s">
        <v>20</v>
      </c>
      <c r="B10" s="45" t="s">
        <v>3</v>
      </c>
      <c r="C10" s="44" t="s">
        <v>4</v>
      </c>
      <c r="D10" s="44" t="s">
        <v>5</v>
      </c>
      <c r="E10" s="44" t="s">
        <v>6</v>
      </c>
      <c r="F10" s="44" t="s">
        <v>7</v>
      </c>
      <c r="G10" s="44" t="s">
        <v>8</v>
      </c>
      <c r="H10" s="44" t="s">
        <v>9</v>
      </c>
      <c r="I10" s="44" t="s">
        <v>10</v>
      </c>
      <c r="J10" s="44" t="s">
        <v>11</v>
      </c>
      <c r="K10" s="44" t="s">
        <v>12</v>
      </c>
      <c r="L10" s="44" t="s">
        <v>13</v>
      </c>
      <c r="M10" s="44" t="s">
        <v>14</v>
      </c>
      <c r="N10" s="44" t="s">
        <v>15</v>
      </c>
    </row>
    <row r="11" spans="1:15" ht="21" hidden="1" customHeight="1">
      <c r="A11" s="3" t="s">
        <v>21</v>
      </c>
      <c r="B11" s="198" t="s">
        <v>22</v>
      </c>
      <c r="C11" s="26" t="s">
        <v>22</v>
      </c>
      <c r="D11" s="26" t="s">
        <v>22</v>
      </c>
      <c r="E11" s="26" t="s">
        <v>22</v>
      </c>
      <c r="F11" s="26" t="s">
        <v>22</v>
      </c>
      <c r="G11" s="26" t="s">
        <v>22</v>
      </c>
      <c r="H11" s="26" t="s">
        <v>22</v>
      </c>
      <c r="I11" s="26" t="s">
        <v>22</v>
      </c>
      <c r="J11" s="26" t="s">
        <v>22</v>
      </c>
      <c r="K11" s="26" t="s">
        <v>22</v>
      </c>
      <c r="L11" s="26" t="s">
        <v>22</v>
      </c>
      <c r="M11" s="26" t="s">
        <v>22</v>
      </c>
      <c r="N11" s="26" t="s">
        <v>22</v>
      </c>
    </row>
    <row r="12" spans="1:15" ht="31.5" hidden="1" customHeight="1">
      <c r="A12" s="3" t="s">
        <v>23</v>
      </c>
      <c r="B12" s="198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</row>
    <row r="13" spans="1:15" ht="15.6" hidden="1">
      <c r="A13" s="55" t="s">
        <v>24</v>
      </c>
      <c r="B13" s="198" t="s">
        <v>22</v>
      </c>
      <c r="C13" s="26" t="s">
        <v>22</v>
      </c>
      <c r="D13" s="26" t="s">
        <v>22</v>
      </c>
      <c r="E13" s="26" t="s">
        <v>22</v>
      </c>
      <c r="F13" s="26" t="s">
        <v>22</v>
      </c>
      <c r="G13" s="26" t="s">
        <v>22</v>
      </c>
      <c r="H13" s="26" t="s">
        <v>22</v>
      </c>
      <c r="I13" s="26" t="s">
        <v>22</v>
      </c>
      <c r="J13" s="26" t="s">
        <v>22</v>
      </c>
      <c r="K13" s="26" t="s">
        <v>22</v>
      </c>
      <c r="L13" s="26" t="s">
        <v>22</v>
      </c>
      <c r="M13" s="26" t="s">
        <v>22</v>
      </c>
      <c r="N13" s="26" t="s">
        <v>22</v>
      </c>
    </row>
    <row r="14" spans="1:15" ht="27.95" hidden="1">
      <c r="A14" s="55" t="s">
        <v>25</v>
      </c>
      <c r="B14" s="198" t="s">
        <v>22</v>
      </c>
      <c r="C14" s="26" t="s">
        <v>22</v>
      </c>
      <c r="D14" s="26" t="s">
        <v>22</v>
      </c>
      <c r="E14" s="26" t="s">
        <v>22</v>
      </c>
      <c r="F14" s="26" t="s">
        <v>22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</row>
    <row r="15" spans="1:15" ht="22.5" hidden="1" customHeight="1">
      <c r="A15" s="6" t="s">
        <v>19</v>
      </c>
      <c r="B15" s="198" t="s">
        <v>22</v>
      </c>
      <c r="C15" s="26" t="s">
        <v>22</v>
      </c>
      <c r="D15" s="26" t="s">
        <v>22</v>
      </c>
      <c r="E15" s="26" t="s">
        <v>22</v>
      </c>
      <c r="F15" s="26" t="s">
        <v>22</v>
      </c>
      <c r="G15" s="26" t="s">
        <v>22</v>
      </c>
      <c r="H15" s="26" t="s">
        <v>22</v>
      </c>
      <c r="I15" s="26" t="s">
        <v>22</v>
      </c>
      <c r="J15" s="26" t="s">
        <v>22</v>
      </c>
      <c r="K15" s="26" t="s">
        <v>22</v>
      </c>
      <c r="L15" s="26" t="s">
        <v>22</v>
      </c>
      <c r="M15" s="26" t="s">
        <v>22</v>
      </c>
      <c r="N15" s="26" t="s">
        <v>22</v>
      </c>
    </row>
    <row r="16" spans="1:15" ht="22.5" customHeight="1">
      <c r="A16" s="2" t="s">
        <v>26</v>
      </c>
      <c r="B16" s="218" t="s">
        <v>27</v>
      </c>
      <c r="C16" s="10">
        <v>654</v>
      </c>
      <c r="D16" s="10">
        <v>644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74" ht="22.5" customHeight="1">
      <c r="A17" s="2" t="s">
        <v>28</v>
      </c>
      <c r="B17" s="218" t="s">
        <v>27</v>
      </c>
      <c r="C17" s="10">
        <v>385</v>
      </c>
      <c r="D17" s="10">
        <v>264</v>
      </c>
      <c r="E17" s="10"/>
      <c r="F17" s="10"/>
      <c r="G17" s="10"/>
      <c r="H17" s="10"/>
      <c r="I17" s="10"/>
      <c r="J17" s="52"/>
      <c r="K17" s="10"/>
      <c r="L17" s="10"/>
      <c r="M17" s="10"/>
      <c r="N17" s="10"/>
    </row>
    <row r="18" spans="1:174" s="29" customFormat="1" ht="18" customHeight="1">
      <c r="A18" s="14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8"/>
      <c r="N18" s="28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</row>
    <row r="19" spans="1:174" ht="22.5" customHeight="1">
      <c r="A19" s="2" t="s">
        <v>30</v>
      </c>
      <c r="B19" s="198" t="s">
        <v>22</v>
      </c>
      <c r="C19" s="10">
        <v>52</v>
      </c>
      <c r="D19" s="10">
        <v>32</v>
      </c>
      <c r="E19" s="26"/>
      <c r="F19" s="26"/>
      <c r="G19" s="26"/>
      <c r="H19" s="26"/>
      <c r="I19" s="26"/>
      <c r="J19" s="26"/>
      <c r="K19" s="10"/>
      <c r="L19" s="10"/>
      <c r="M19" s="24"/>
      <c r="N19" s="24"/>
    </row>
    <row r="20" spans="1:174" ht="22.5" customHeight="1">
      <c r="A20" s="2" t="s">
        <v>31</v>
      </c>
      <c r="B20" s="198" t="s">
        <v>22</v>
      </c>
      <c r="C20" s="10">
        <v>199</v>
      </c>
      <c r="D20" s="10">
        <v>117</v>
      </c>
      <c r="E20" s="26"/>
      <c r="F20" s="26"/>
      <c r="G20" s="26"/>
      <c r="H20" s="26"/>
      <c r="I20" s="26"/>
      <c r="J20" s="26"/>
      <c r="K20" s="10"/>
      <c r="L20" s="10"/>
      <c r="M20" s="24"/>
      <c r="N20" s="24"/>
    </row>
    <row r="21" spans="1:174" ht="22.5" customHeight="1">
      <c r="A21" s="2" t="s">
        <v>32</v>
      </c>
      <c r="B21" s="198" t="s">
        <v>22</v>
      </c>
      <c r="C21" s="10">
        <v>10</v>
      </c>
      <c r="D21" s="10">
        <v>12</v>
      </c>
      <c r="E21" s="26"/>
      <c r="F21" s="26"/>
      <c r="G21" s="26"/>
      <c r="H21" s="26"/>
      <c r="I21" s="26"/>
      <c r="J21" s="26"/>
      <c r="K21" s="10"/>
      <c r="L21" s="10"/>
      <c r="M21" s="24"/>
      <c r="N21" s="24"/>
    </row>
    <row r="22" spans="1:174" ht="22.5" customHeight="1">
      <c r="A22" s="2" t="s">
        <v>33</v>
      </c>
      <c r="B22" s="198" t="s">
        <v>22</v>
      </c>
      <c r="C22" s="10">
        <v>97</v>
      </c>
      <c r="D22" s="10">
        <v>69</v>
      </c>
      <c r="E22" s="26"/>
      <c r="F22" s="26"/>
      <c r="G22" s="26"/>
      <c r="H22" s="26"/>
      <c r="I22" s="26"/>
      <c r="J22" s="26"/>
      <c r="K22" s="10"/>
      <c r="L22" s="10"/>
      <c r="M22" s="24"/>
      <c r="N22" s="24"/>
    </row>
    <row r="23" spans="1:174" ht="22.5" customHeight="1">
      <c r="A23" s="2" t="s">
        <v>34</v>
      </c>
      <c r="B23" s="198" t="s">
        <v>22</v>
      </c>
      <c r="C23" s="10">
        <v>27</v>
      </c>
      <c r="D23" s="10">
        <v>34</v>
      </c>
      <c r="E23" s="26"/>
      <c r="F23" s="26"/>
      <c r="G23" s="26"/>
      <c r="H23" s="26"/>
      <c r="I23" s="26"/>
      <c r="J23" s="26"/>
      <c r="K23" s="10"/>
      <c r="L23" s="10"/>
      <c r="M23" s="24"/>
      <c r="N23" s="24"/>
    </row>
    <row r="24" spans="1:174" ht="22.5" customHeight="1">
      <c r="A24" s="6" t="s">
        <v>19</v>
      </c>
      <c r="B24" s="198" t="s">
        <v>22</v>
      </c>
      <c r="C24" s="26">
        <f t="shared" ref="C24:K24" si="2">SUM(C19:C23)</f>
        <v>385</v>
      </c>
      <c r="D24" s="26">
        <f t="shared" si="2"/>
        <v>264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>
        <f t="shared" si="2"/>
        <v>0</v>
      </c>
      <c r="K24" s="26">
        <f t="shared" si="2"/>
        <v>0</v>
      </c>
      <c r="L24" s="26">
        <f>SUM(L19:L23)</f>
        <v>0</v>
      </c>
      <c r="M24" s="26">
        <f>SUM(M19:M23)</f>
        <v>0</v>
      </c>
      <c r="N24" s="26">
        <f>SUM(N19:N23)</f>
        <v>0</v>
      </c>
    </row>
    <row r="25" spans="1:174" s="29" customFormat="1" ht="24" customHeight="1">
      <c r="A25" s="14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</row>
    <row r="26" spans="1:174" s="23" customFormat="1" ht="22.5" customHeight="1">
      <c r="A26" s="2" t="s">
        <v>30</v>
      </c>
      <c r="B26" s="198" t="s">
        <v>22</v>
      </c>
      <c r="C26" s="10">
        <v>23</v>
      </c>
      <c r="D26" s="10">
        <v>36</v>
      </c>
      <c r="E26" s="26"/>
      <c r="F26" s="26"/>
      <c r="G26" s="26"/>
      <c r="H26" s="26"/>
      <c r="I26" s="26"/>
      <c r="J26" s="26"/>
      <c r="K26" s="10"/>
      <c r="L26" s="10"/>
      <c r="M26" s="10"/>
      <c r="N26" s="21"/>
    </row>
    <row r="27" spans="1:174" s="23" customFormat="1" ht="22.5" customHeight="1">
      <c r="A27" s="2" t="s">
        <v>31</v>
      </c>
      <c r="B27" s="198" t="s">
        <v>22</v>
      </c>
      <c r="C27" s="10">
        <v>500</v>
      </c>
      <c r="D27" s="10">
        <v>437</v>
      </c>
      <c r="E27" s="26"/>
      <c r="F27" s="26"/>
      <c r="G27" s="26"/>
      <c r="H27" s="26"/>
      <c r="I27" s="26"/>
      <c r="J27" s="26"/>
      <c r="K27" s="10"/>
      <c r="L27" s="10"/>
      <c r="M27" s="10"/>
      <c r="N27" s="21"/>
    </row>
    <row r="28" spans="1:174" s="23" customFormat="1" ht="22.5" customHeight="1">
      <c r="A28" s="2" t="s">
        <v>32</v>
      </c>
      <c r="B28" s="198" t="s">
        <v>22</v>
      </c>
      <c r="C28" s="10">
        <v>7</v>
      </c>
      <c r="D28" s="10">
        <v>20</v>
      </c>
      <c r="E28" s="26"/>
      <c r="F28" s="26"/>
      <c r="G28" s="26"/>
      <c r="H28" s="26"/>
      <c r="I28" s="26"/>
      <c r="J28" s="26"/>
      <c r="K28" s="10"/>
      <c r="L28" s="10"/>
      <c r="M28" s="10"/>
      <c r="N28" s="21"/>
    </row>
    <row r="29" spans="1:174" ht="22.5" customHeight="1">
      <c r="A29" s="2" t="s">
        <v>33</v>
      </c>
      <c r="B29" s="198" t="s">
        <v>22</v>
      </c>
      <c r="C29" s="10">
        <v>65</v>
      </c>
      <c r="D29" s="10">
        <v>57</v>
      </c>
      <c r="E29" s="26"/>
      <c r="F29" s="26"/>
      <c r="G29" s="26"/>
      <c r="H29" s="26"/>
      <c r="I29" s="26"/>
      <c r="J29" s="26"/>
      <c r="K29" s="10"/>
      <c r="L29" s="10"/>
      <c r="M29" s="10"/>
      <c r="N29" s="10"/>
    </row>
    <row r="30" spans="1:174" s="23" customFormat="1" ht="22.5" customHeight="1">
      <c r="A30" s="2" t="s">
        <v>34</v>
      </c>
      <c r="B30" s="198" t="s">
        <v>22</v>
      </c>
      <c r="C30" s="10">
        <v>59</v>
      </c>
      <c r="D30" s="10">
        <v>94</v>
      </c>
      <c r="E30" s="26"/>
      <c r="F30" s="26"/>
      <c r="G30" s="26"/>
      <c r="H30" s="26"/>
      <c r="I30" s="26"/>
      <c r="J30" s="26"/>
      <c r="K30" s="10"/>
      <c r="L30" s="10"/>
      <c r="M30" s="10"/>
      <c r="N30" s="21"/>
    </row>
    <row r="31" spans="1:174" ht="22.5" customHeight="1">
      <c r="A31" s="6" t="s">
        <v>19</v>
      </c>
      <c r="B31" s="198" t="s">
        <v>22</v>
      </c>
      <c r="C31" s="26">
        <f t="shared" ref="C31:K31" si="3">SUM(C26:C30)</f>
        <v>654</v>
      </c>
      <c r="D31" s="26">
        <f t="shared" si="3"/>
        <v>644</v>
      </c>
      <c r="E31" s="26">
        <f t="shared" si="3"/>
        <v>0</v>
      </c>
      <c r="F31" s="26">
        <f t="shared" si="3"/>
        <v>0</v>
      </c>
      <c r="G31" s="26">
        <f t="shared" si="3"/>
        <v>0</v>
      </c>
      <c r="H31" s="26">
        <f t="shared" si="3"/>
        <v>0</v>
      </c>
      <c r="I31" s="26">
        <f t="shared" si="3"/>
        <v>0</v>
      </c>
      <c r="J31" s="26">
        <f t="shared" si="3"/>
        <v>0</v>
      </c>
      <c r="K31" s="26">
        <f t="shared" si="3"/>
        <v>0</v>
      </c>
      <c r="L31" s="26">
        <f>SUM(L26:L30)</f>
        <v>0</v>
      </c>
      <c r="M31" s="90">
        <f>SUM(M26:M30)</f>
        <v>0</v>
      </c>
      <c r="N31" s="90">
        <f>SUM(N26:N30)</f>
        <v>0</v>
      </c>
    </row>
    <row r="32" spans="1:174" ht="6.75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5" ht="39">
      <c r="A33" s="1" t="s">
        <v>36</v>
      </c>
      <c r="B33" s="45" t="s">
        <v>3</v>
      </c>
      <c r="C33" s="44" t="s">
        <v>4</v>
      </c>
      <c r="D33" s="44" t="s">
        <v>5</v>
      </c>
      <c r="E33" s="44" t="s">
        <v>6</v>
      </c>
      <c r="F33" s="44" t="s">
        <v>7</v>
      </c>
      <c r="G33" s="44" t="s">
        <v>8</v>
      </c>
      <c r="H33" s="44" t="s">
        <v>9</v>
      </c>
      <c r="I33" s="44" t="s">
        <v>10</v>
      </c>
      <c r="J33" s="44" t="s">
        <v>11</v>
      </c>
      <c r="K33" s="44" t="s">
        <v>12</v>
      </c>
      <c r="L33" s="44" t="s">
        <v>13</v>
      </c>
      <c r="M33" s="44" t="s">
        <v>14</v>
      </c>
      <c r="N33" s="44" t="s">
        <v>15</v>
      </c>
    </row>
    <row r="34" spans="1:15" ht="24.75" customHeight="1">
      <c r="A34" s="2" t="s">
        <v>37</v>
      </c>
      <c r="B34" s="221">
        <v>3400</v>
      </c>
      <c r="C34" s="11">
        <f>C62</f>
        <v>3220</v>
      </c>
      <c r="D34" s="11">
        <v>2825</v>
      </c>
      <c r="E34" s="11"/>
      <c r="F34" s="11"/>
      <c r="G34" s="11"/>
      <c r="H34" s="11"/>
      <c r="I34" s="11"/>
      <c r="J34" s="11"/>
      <c r="K34" s="11"/>
      <c r="L34" s="11"/>
      <c r="M34" s="11"/>
      <c r="N34" s="129"/>
      <c r="O34" s="83"/>
    </row>
    <row r="35" spans="1:15" ht="30.95">
      <c r="A35" s="2" t="s">
        <v>38</v>
      </c>
      <c r="B35" s="221">
        <v>1700</v>
      </c>
      <c r="C35" s="11">
        <f>C74</f>
        <v>1988</v>
      </c>
      <c r="D35" s="11">
        <v>1593</v>
      </c>
      <c r="E35" s="11"/>
      <c r="F35" s="226"/>
      <c r="G35" s="11"/>
      <c r="H35" s="11"/>
      <c r="I35" s="11"/>
      <c r="J35" s="11"/>
      <c r="K35" s="11"/>
      <c r="L35" s="11"/>
      <c r="M35" s="11"/>
      <c r="N35" s="11"/>
      <c r="O35" s="83"/>
    </row>
    <row r="36" spans="1:15" ht="18">
      <c r="A36" s="2" t="s">
        <v>39</v>
      </c>
      <c r="B36" s="219">
        <v>285</v>
      </c>
      <c r="C36" s="11">
        <v>431</v>
      </c>
      <c r="D36" s="11">
        <v>339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83"/>
    </row>
    <row r="37" spans="1:15" ht="18">
      <c r="A37" s="2" t="s">
        <v>40</v>
      </c>
      <c r="B37" s="220" t="s">
        <v>22</v>
      </c>
      <c r="C37" s="46" t="s">
        <v>22</v>
      </c>
      <c r="D37" s="46" t="s">
        <v>22</v>
      </c>
      <c r="E37" s="46" t="s">
        <v>22</v>
      </c>
      <c r="F37" s="46" t="s">
        <v>22</v>
      </c>
      <c r="G37" s="46" t="s">
        <v>22</v>
      </c>
      <c r="H37" s="46" t="s">
        <v>22</v>
      </c>
      <c r="I37" s="46" t="s">
        <v>22</v>
      </c>
      <c r="J37" s="46" t="s">
        <v>22</v>
      </c>
      <c r="K37" s="46" t="s">
        <v>22</v>
      </c>
      <c r="L37" s="46" t="s">
        <v>22</v>
      </c>
      <c r="M37" s="46" t="s">
        <v>22</v>
      </c>
      <c r="N37" s="46" t="s">
        <v>22</v>
      </c>
      <c r="O37" s="83"/>
    </row>
    <row r="38" spans="1:15" ht="18">
      <c r="A38" s="2" t="s">
        <v>19</v>
      </c>
      <c r="B38" s="221">
        <f>SUM(B34:B37)</f>
        <v>5385</v>
      </c>
      <c r="C38" s="32">
        <f t="shared" ref="C38" si="4">SUM(C34:C37)</f>
        <v>5639</v>
      </c>
      <c r="D38" s="32">
        <f t="shared" ref="D38:N38" si="5">SUM(D34:D37)</f>
        <v>4757</v>
      </c>
      <c r="E38" s="32">
        <f t="shared" si="5"/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46">
        <f t="shared" si="5"/>
        <v>0</v>
      </c>
      <c r="K38" s="46">
        <f t="shared" si="5"/>
        <v>0</v>
      </c>
      <c r="L38" s="46">
        <f t="shared" si="5"/>
        <v>0</v>
      </c>
      <c r="M38" s="46">
        <f t="shared" si="5"/>
        <v>0</v>
      </c>
      <c r="N38" s="46">
        <f t="shared" si="5"/>
        <v>0</v>
      </c>
      <c r="O38" s="83"/>
    </row>
    <row r="39" spans="1:15" ht="6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5" ht="39">
      <c r="A40" s="4" t="s">
        <v>41</v>
      </c>
      <c r="B40" s="45" t="s">
        <v>3</v>
      </c>
      <c r="C40" s="44" t="s">
        <v>4</v>
      </c>
      <c r="D40" s="44" t="s">
        <v>5</v>
      </c>
      <c r="E40" s="44" t="s">
        <v>6</v>
      </c>
      <c r="F40" s="44" t="s">
        <v>7</v>
      </c>
      <c r="G40" s="44" t="s">
        <v>8</v>
      </c>
      <c r="H40" s="44" t="s">
        <v>9</v>
      </c>
      <c r="I40" s="44" t="s">
        <v>10</v>
      </c>
      <c r="J40" s="44" t="s">
        <v>11</v>
      </c>
      <c r="K40" s="44" t="s">
        <v>12</v>
      </c>
      <c r="L40" s="44" t="s">
        <v>13</v>
      </c>
      <c r="M40" s="44" t="s">
        <v>14</v>
      </c>
      <c r="N40" s="44" t="s">
        <v>15</v>
      </c>
    </row>
    <row r="41" spans="1:15" ht="22.5" customHeight="1">
      <c r="A41" s="30" t="s">
        <v>42</v>
      </c>
      <c r="B41" s="252">
        <v>3400</v>
      </c>
      <c r="C41" s="10">
        <v>0</v>
      </c>
      <c r="D41" s="10">
        <v>0</v>
      </c>
      <c r="E41" s="10"/>
      <c r="F41" s="10"/>
      <c r="G41" s="10"/>
      <c r="H41" s="10"/>
      <c r="I41" s="21"/>
      <c r="J41" s="10"/>
      <c r="K41" s="10"/>
      <c r="L41" s="10"/>
      <c r="M41" s="10"/>
      <c r="N41" s="10"/>
    </row>
    <row r="42" spans="1:15" ht="19.5" customHeight="1">
      <c r="A42" s="30" t="s">
        <v>43</v>
      </c>
      <c r="B42" s="253"/>
      <c r="C42" s="10">
        <v>199</v>
      </c>
      <c r="D42" s="10">
        <v>63</v>
      </c>
      <c r="E42" s="10"/>
      <c r="F42" s="10"/>
      <c r="G42" s="10"/>
      <c r="H42" s="10"/>
      <c r="I42" s="21"/>
      <c r="J42" s="10"/>
      <c r="K42" s="10"/>
      <c r="L42" s="10"/>
      <c r="M42" s="10"/>
      <c r="N42" s="10"/>
    </row>
    <row r="43" spans="1:15" ht="18.75" customHeight="1">
      <c r="A43" s="30" t="s">
        <v>44</v>
      </c>
      <c r="B43" s="253"/>
      <c r="C43" s="10">
        <v>0</v>
      </c>
      <c r="D43" s="10">
        <v>0</v>
      </c>
      <c r="E43" s="10"/>
      <c r="F43" s="10"/>
      <c r="G43" s="10"/>
      <c r="H43" s="10"/>
      <c r="I43" s="21"/>
      <c r="J43" s="10"/>
      <c r="K43" s="10"/>
      <c r="L43" s="10"/>
      <c r="M43" s="10"/>
      <c r="N43" s="10"/>
    </row>
    <row r="44" spans="1:15" ht="18.75" customHeight="1">
      <c r="A44" s="30" t="s">
        <v>45</v>
      </c>
      <c r="B44" s="253"/>
      <c r="C44" s="10">
        <v>197</v>
      </c>
      <c r="D44" s="10">
        <v>191</v>
      </c>
      <c r="E44" s="10"/>
      <c r="F44" s="10"/>
      <c r="G44" s="10"/>
      <c r="H44" s="10"/>
      <c r="I44" s="21"/>
      <c r="J44" s="10"/>
      <c r="K44" s="10"/>
      <c r="L44" s="10"/>
      <c r="M44" s="10"/>
      <c r="N44" s="10"/>
    </row>
    <row r="45" spans="1:15" ht="17.25" customHeight="1">
      <c r="A45" s="30" t="s">
        <v>46</v>
      </c>
      <c r="B45" s="253"/>
      <c r="C45" s="10">
        <v>80</v>
      </c>
      <c r="D45" s="10">
        <v>81</v>
      </c>
      <c r="E45" s="10"/>
      <c r="F45" s="10"/>
      <c r="G45" s="10"/>
      <c r="H45" s="10"/>
      <c r="I45" s="21"/>
      <c r="J45" s="10"/>
      <c r="K45" s="10"/>
      <c r="L45" s="10"/>
      <c r="M45" s="10"/>
      <c r="N45" s="10"/>
    </row>
    <row r="46" spans="1:15" ht="18" customHeight="1">
      <c r="A46" s="30" t="s">
        <v>33</v>
      </c>
      <c r="B46" s="253"/>
      <c r="C46" s="10">
        <v>254</v>
      </c>
      <c r="D46" s="10">
        <v>231</v>
      </c>
      <c r="E46" s="10"/>
      <c r="F46" s="10"/>
      <c r="G46" s="10"/>
      <c r="H46" s="10"/>
      <c r="I46" s="21"/>
      <c r="J46" s="10"/>
      <c r="K46" s="10"/>
      <c r="L46" s="10"/>
      <c r="M46" s="10"/>
      <c r="N46" s="10"/>
    </row>
    <row r="47" spans="1:15" ht="18.75" customHeight="1">
      <c r="A47" s="30" t="s">
        <v>47</v>
      </c>
      <c r="B47" s="253"/>
      <c r="C47" s="10">
        <v>16</v>
      </c>
      <c r="D47" s="10">
        <v>12</v>
      </c>
      <c r="E47" s="10"/>
      <c r="F47" s="10"/>
      <c r="G47" s="10"/>
      <c r="H47" s="10"/>
      <c r="I47" s="21"/>
      <c r="J47" s="10"/>
      <c r="K47" s="10"/>
      <c r="L47" s="10"/>
      <c r="M47" s="10"/>
      <c r="N47" s="10"/>
    </row>
    <row r="48" spans="1:15" ht="21.75" customHeight="1">
      <c r="A48" s="30" t="s">
        <v>48</v>
      </c>
      <c r="B48" s="253"/>
      <c r="C48" s="10">
        <v>25</v>
      </c>
      <c r="D48" s="10">
        <v>27</v>
      </c>
      <c r="E48" s="10"/>
      <c r="F48" s="10"/>
      <c r="G48" s="10"/>
      <c r="H48" s="10"/>
      <c r="I48" s="21"/>
      <c r="J48" s="10"/>
      <c r="K48" s="10"/>
      <c r="L48" s="10"/>
      <c r="M48" s="10"/>
      <c r="N48" s="10"/>
    </row>
    <row r="49" spans="1:14" ht="21" customHeight="1">
      <c r="A49" s="30" t="s">
        <v>49</v>
      </c>
      <c r="B49" s="253"/>
      <c r="C49" s="10">
        <v>54</v>
      </c>
      <c r="D49" s="10">
        <v>60</v>
      </c>
      <c r="E49" s="10"/>
      <c r="F49" s="10"/>
      <c r="G49" s="10"/>
      <c r="H49" s="10"/>
      <c r="I49" s="21"/>
      <c r="J49" s="10"/>
      <c r="K49" s="10"/>
      <c r="L49" s="10"/>
      <c r="M49" s="10"/>
      <c r="N49" s="10"/>
    </row>
    <row r="50" spans="1:14" ht="21" customHeight="1">
      <c r="A50" s="30" t="s">
        <v>50</v>
      </c>
      <c r="B50" s="253"/>
      <c r="C50" s="10">
        <v>45</v>
      </c>
      <c r="D50" s="10">
        <v>28</v>
      </c>
      <c r="E50" s="10"/>
      <c r="F50" s="10"/>
      <c r="G50" s="10"/>
      <c r="H50" s="10"/>
      <c r="I50" s="21"/>
      <c r="J50" s="10"/>
      <c r="K50" s="10"/>
      <c r="L50" s="10"/>
      <c r="M50" s="10"/>
      <c r="N50" s="10"/>
    </row>
    <row r="51" spans="1:14" ht="21" customHeight="1">
      <c r="A51" s="30" t="s">
        <v>51</v>
      </c>
      <c r="B51" s="253"/>
      <c r="C51" s="10">
        <v>189</v>
      </c>
      <c r="D51" s="10">
        <v>168</v>
      </c>
      <c r="E51" s="10"/>
      <c r="F51" s="10"/>
      <c r="G51" s="10"/>
      <c r="H51" s="10"/>
      <c r="I51" s="21"/>
      <c r="J51" s="10"/>
      <c r="K51" s="10"/>
      <c r="L51" s="10"/>
      <c r="M51" s="10"/>
      <c r="N51" s="10"/>
    </row>
    <row r="52" spans="1:14" ht="21" customHeight="1">
      <c r="A52" s="30" t="s">
        <v>52</v>
      </c>
      <c r="B52" s="253"/>
      <c r="C52" s="10">
        <v>100</v>
      </c>
      <c r="D52" s="10">
        <v>81</v>
      </c>
      <c r="E52" s="10"/>
      <c r="F52" s="10"/>
      <c r="G52" s="10"/>
      <c r="H52" s="10"/>
      <c r="I52" s="21"/>
      <c r="J52" s="10"/>
      <c r="K52" s="10"/>
      <c r="L52" s="10"/>
      <c r="M52" s="10"/>
      <c r="N52" s="10"/>
    </row>
    <row r="53" spans="1:14" ht="18" customHeight="1">
      <c r="A53" s="30" t="s">
        <v>53</v>
      </c>
      <c r="B53" s="253"/>
      <c r="C53" s="10">
        <v>27</v>
      </c>
      <c r="D53" s="10">
        <v>15</v>
      </c>
      <c r="E53" s="10"/>
      <c r="F53" s="10"/>
      <c r="G53" s="10"/>
      <c r="H53" s="10"/>
      <c r="I53" s="21"/>
      <c r="J53" s="10"/>
      <c r="K53" s="10"/>
      <c r="L53" s="10"/>
      <c r="M53" s="10"/>
      <c r="N53" s="10"/>
    </row>
    <row r="54" spans="1:14" ht="21" customHeight="1">
      <c r="A54" s="30" t="s">
        <v>54</v>
      </c>
      <c r="B54" s="253"/>
      <c r="C54" s="11">
        <v>1694</v>
      </c>
      <c r="D54" s="11">
        <v>1577</v>
      </c>
      <c r="E54" s="10"/>
      <c r="F54" s="10"/>
      <c r="G54" s="10"/>
      <c r="H54" s="10"/>
      <c r="I54" s="21"/>
      <c r="J54" s="10"/>
      <c r="K54" s="10"/>
      <c r="L54" s="10"/>
      <c r="M54" s="10"/>
      <c r="N54" s="10"/>
    </row>
    <row r="55" spans="1:14" ht="21" customHeight="1">
      <c r="A55" s="31" t="s">
        <v>55</v>
      </c>
      <c r="B55" s="253"/>
      <c r="C55" s="10">
        <v>48</v>
      </c>
      <c r="D55" s="10">
        <v>27</v>
      </c>
      <c r="E55" s="10"/>
      <c r="F55" s="10"/>
      <c r="G55" s="10"/>
      <c r="H55" s="10"/>
      <c r="I55" s="21"/>
      <c r="J55" s="10"/>
      <c r="K55" s="10"/>
      <c r="L55" s="10"/>
      <c r="M55" s="10"/>
      <c r="N55" s="10"/>
    </row>
    <row r="56" spans="1:14" ht="21" customHeight="1">
      <c r="A56" s="31" t="s">
        <v>56</v>
      </c>
      <c r="B56" s="253"/>
      <c r="C56" s="10">
        <v>27</v>
      </c>
      <c r="D56" s="10">
        <v>25</v>
      </c>
      <c r="E56" s="10"/>
      <c r="F56" s="10"/>
      <c r="G56" s="10"/>
      <c r="H56" s="10"/>
      <c r="I56" s="21"/>
      <c r="J56" s="10"/>
      <c r="K56" s="10"/>
      <c r="L56" s="10"/>
      <c r="M56" s="10"/>
      <c r="N56" s="10"/>
    </row>
    <row r="57" spans="1:14" ht="21" customHeight="1">
      <c r="A57" s="31" t="s">
        <v>57</v>
      </c>
      <c r="B57" s="253"/>
      <c r="C57" s="10">
        <v>84</v>
      </c>
      <c r="D57" s="10">
        <v>88</v>
      </c>
      <c r="E57" s="10"/>
      <c r="F57" s="10"/>
      <c r="G57" s="10"/>
      <c r="H57" s="10"/>
      <c r="I57" s="21"/>
      <c r="J57" s="10"/>
      <c r="K57" s="10"/>
      <c r="L57" s="10"/>
      <c r="M57" s="10"/>
      <c r="N57" s="10"/>
    </row>
    <row r="58" spans="1:14" ht="21" customHeight="1">
      <c r="A58" s="31" t="s">
        <v>58</v>
      </c>
      <c r="B58" s="253"/>
      <c r="C58" s="10">
        <v>64</v>
      </c>
      <c r="D58" s="10">
        <v>62</v>
      </c>
      <c r="E58" s="10"/>
      <c r="F58" s="10"/>
      <c r="G58" s="10"/>
      <c r="H58" s="10"/>
      <c r="I58" s="21"/>
      <c r="J58" s="10"/>
      <c r="K58" s="10"/>
      <c r="L58" s="10"/>
      <c r="M58" s="10"/>
      <c r="N58" s="10"/>
    </row>
    <row r="59" spans="1:14" ht="21" customHeight="1">
      <c r="A59" s="31" t="s">
        <v>59</v>
      </c>
      <c r="B59" s="253"/>
      <c r="C59" s="10">
        <v>46</v>
      </c>
      <c r="D59" s="10">
        <v>43</v>
      </c>
      <c r="E59" s="10"/>
      <c r="F59" s="10"/>
      <c r="G59" s="10"/>
      <c r="H59" s="10"/>
      <c r="I59" s="21"/>
      <c r="J59" s="10"/>
      <c r="K59" s="10"/>
      <c r="L59" s="10"/>
      <c r="M59" s="10"/>
      <c r="N59" s="10"/>
    </row>
    <row r="60" spans="1:14" ht="21" customHeight="1">
      <c r="A60" s="31" t="s">
        <v>60</v>
      </c>
      <c r="B60" s="253"/>
      <c r="C60" s="10">
        <v>20</v>
      </c>
      <c r="D60" s="10">
        <v>11</v>
      </c>
      <c r="E60" s="10"/>
      <c r="F60" s="10"/>
      <c r="G60" s="10"/>
      <c r="H60" s="10"/>
      <c r="I60" s="21"/>
      <c r="J60" s="10"/>
      <c r="K60" s="10"/>
      <c r="L60" s="10"/>
      <c r="M60" s="10"/>
      <c r="N60" s="10"/>
    </row>
    <row r="61" spans="1:14" ht="21.75" customHeight="1">
      <c r="A61" s="31" t="s">
        <v>61</v>
      </c>
      <c r="B61" s="254"/>
      <c r="C61" s="10">
        <v>51</v>
      </c>
      <c r="D61" s="10">
        <v>35</v>
      </c>
      <c r="E61" s="10"/>
      <c r="F61" s="10"/>
      <c r="G61" s="10"/>
      <c r="H61" s="10"/>
      <c r="I61" s="21"/>
      <c r="J61" s="10"/>
      <c r="K61" s="10"/>
      <c r="L61" s="10"/>
      <c r="M61" s="10"/>
      <c r="N61" s="10"/>
    </row>
    <row r="62" spans="1:14" ht="21.75" customHeight="1">
      <c r="A62" s="31" t="s">
        <v>19</v>
      </c>
      <c r="B62" s="222">
        <f>SUM(B41:B61)</f>
        <v>3400</v>
      </c>
      <c r="C62" s="32">
        <f>SUM(C41:C61)</f>
        <v>3220</v>
      </c>
      <c r="D62" s="32">
        <f t="shared" ref="D62:N62" si="6">SUM(D41:D61)</f>
        <v>2825</v>
      </c>
      <c r="E62" s="32">
        <f t="shared" si="6"/>
        <v>0</v>
      </c>
      <c r="F62" s="32">
        <f t="shared" si="6"/>
        <v>0</v>
      </c>
      <c r="G62" s="32">
        <f>SUM(G41:G61)</f>
        <v>0</v>
      </c>
      <c r="H62" s="32">
        <f t="shared" si="6"/>
        <v>0</v>
      </c>
      <c r="I62" s="32">
        <f>SUM(I41:I61)</f>
        <v>0</v>
      </c>
      <c r="J62" s="32">
        <f>SUM(J41:J61)</f>
        <v>0</v>
      </c>
      <c r="K62" s="32">
        <f>SUM(K41:K61)</f>
        <v>0</v>
      </c>
      <c r="L62" s="32">
        <f t="shared" si="6"/>
        <v>0</v>
      </c>
      <c r="M62" s="32">
        <f t="shared" si="6"/>
        <v>0</v>
      </c>
      <c r="N62" s="32">
        <f t="shared" si="6"/>
        <v>0</v>
      </c>
    </row>
    <row r="63" spans="1:14" ht="11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</row>
    <row r="64" spans="1:14" ht="39">
      <c r="A64" s="4" t="s">
        <v>62</v>
      </c>
      <c r="B64" s="45" t="s">
        <v>3</v>
      </c>
      <c r="C64" s="44" t="s">
        <v>4</v>
      </c>
      <c r="D64" s="44" t="s">
        <v>5</v>
      </c>
      <c r="E64" s="44" t="s">
        <v>6</v>
      </c>
      <c r="F64" s="44" t="s">
        <v>7</v>
      </c>
      <c r="G64" s="44" t="s">
        <v>8</v>
      </c>
      <c r="H64" s="44" t="s">
        <v>9</v>
      </c>
      <c r="I64" s="44" t="s">
        <v>10</v>
      </c>
      <c r="J64" s="44" t="s">
        <v>11</v>
      </c>
      <c r="K64" s="44" t="s">
        <v>12</v>
      </c>
      <c r="L64" s="44" t="s">
        <v>13</v>
      </c>
      <c r="M64" s="44" t="s">
        <v>14</v>
      </c>
      <c r="N64" s="44" t="s">
        <v>15</v>
      </c>
    </row>
    <row r="65" spans="1:15" ht="21" customHeight="1">
      <c r="A65" s="8" t="s">
        <v>63</v>
      </c>
      <c r="B65" s="252">
        <v>1700</v>
      </c>
      <c r="C65" s="11">
        <v>97</v>
      </c>
      <c r="D65" s="11">
        <v>72</v>
      </c>
      <c r="E65" s="11"/>
      <c r="F65" s="11"/>
      <c r="G65" s="11"/>
      <c r="H65" s="11"/>
      <c r="I65" s="50"/>
      <c r="J65" s="11"/>
      <c r="K65" s="11"/>
      <c r="L65" s="11"/>
      <c r="M65" s="11"/>
      <c r="N65" s="11"/>
    </row>
    <row r="66" spans="1:15" ht="19.5" customHeight="1">
      <c r="A66" s="8" t="s">
        <v>64</v>
      </c>
      <c r="B66" s="253"/>
      <c r="C66" s="11">
        <v>1828</v>
      </c>
      <c r="D66" s="11">
        <v>1469</v>
      </c>
      <c r="E66" s="11"/>
      <c r="F66" s="11"/>
      <c r="G66" s="11"/>
      <c r="H66" s="11"/>
      <c r="I66" s="50"/>
      <c r="J66" s="11"/>
      <c r="K66" s="11"/>
      <c r="L66" s="11"/>
      <c r="M66" s="11"/>
      <c r="N66" s="11"/>
    </row>
    <row r="67" spans="1:15" ht="18" customHeight="1">
      <c r="A67" s="8" t="s">
        <v>65</v>
      </c>
      <c r="B67" s="253"/>
      <c r="C67" s="11">
        <v>0</v>
      </c>
      <c r="D67" s="11">
        <v>0</v>
      </c>
      <c r="E67" s="11"/>
      <c r="F67" s="11"/>
      <c r="G67" s="11"/>
      <c r="H67" s="11"/>
      <c r="I67" s="50"/>
      <c r="J67" s="11"/>
      <c r="K67" s="11"/>
      <c r="L67" s="11"/>
      <c r="M67" s="11"/>
      <c r="N67" s="11"/>
    </row>
    <row r="68" spans="1:15" ht="18.75" customHeight="1">
      <c r="A68" s="8" t="s">
        <v>66</v>
      </c>
      <c r="B68" s="253"/>
      <c r="C68" s="11">
        <v>0</v>
      </c>
      <c r="D68" s="11">
        <v>0</v>
      </c>
      <c r="E68" s="11"/>
      <c r="F68" s="11"/>
      <c r="G68" s="11"/>
      <c r="H68" s="11"/>
      <c r="I68" s="50"/>
      <c r="J68" s="11"/>
      <c r="K68" s="11"/>
      <c r="L68" s="11"/>
      <c r="M68" s="11"/>
      <c r="N68" s="11"/>
    </row>
    <row r="69" spans="1:15" ht="19.5" customHeight="1">
      <c r="A69" s="8" t="s">
        <v>67</v>
      </c>
      <c r="B69" s="253"/>
      <c r="C69" s="11">
        <v>28</v>
      </c>
      <c r="D69" s="11">
        <v>29</v>
      </c>
      <c r="E69" s="11"/>
      <c r="F69" s="11"/>
      <c r="G69" s="11"/>
      <c r="H69" s="11"/>
      <c r="I69" s="50"/>
      <c r="J69" s="11"/>
      <c r="K69" s="11"/>
      <c r="L69" s="11"/>
      <c r="M69" s="11"/>
      <c r="N69" s="11"/>
    </row>
    <row r="70" spans="1:15" ht="19.5" customHeight="1">
      <c r="A70" s="8" t="s">
        <v>68</v>
      </c>
      <c r="B70" s="253"/>
      <c r="C70" s="11">
        <v>0</v>
      </c>
      <c r="D70" s="11">
        <v>0</v>
      </c>
      <c r="E70" s="11"/>
      <c r="F70" s="11"/>
      <c r="G70" s="11"/>
      <c r="H70" s="11"/>
      <c r="I70" s="50"/>
      <c r="J70" s="11"/>
      <c r="K70" s="11"/>
      <c r="L70" s="11"/>
      <c r="M70" s="11"/>
      <c r="N70" s="11"/>
    </row>
    <row r="71" spans="1:15" ht="19.5" customHeight="1">
      <c r="A71" s="3" t="s">
        <v>69</v>
      </c>
      <c r="B71" s="253"/>
      <c r="C71" s="11">
        <v>0</v>
      </c>
      <c r="D71" s="11">
        <v>0</v>
      </c>
      <c r="E71" s="11"/>
      <c r="F71" s="11"/>
      <c r="G71" s="11"/>
      <c r="H71" s="11"/>
      <c r="I71" s="50"/>
      <c r="J71" s="11"/>
      <c r="K71" s="11"/>
      <c r="L71" s="11"/>
      <c r="M71" s="11"/>
      <c r="N71" s="11"/>
    </row>
    <row r="72" spans="1:15" ht="19.5" customHeight="1">
      <c r="A72" s="3" t="s">
        <v>70</v>
      </c>
      <c r="B72" s="253"/>
      <c r="C72" s="11">
        <v>35</v>
      </c>
      <c r="D72" s="11">
        <v>23</v>
      </c>
      <c r="E72" s="11"/>
      <c r="F72" s="11"/>
      <c r="G72" s="11"/>
      <c r="H72" s="11"/>
      <c r="I72" s="50"/>
      <c r="J72" s="11"/>
      <c r="K72" s="11"/>
      <c r="L72" s="11"/>
      <c r="M72" s="11"/>
      <c r="N72" s="11"/>
    </row>
    <row r="73" spans="1:15" ht="18" customHeight="1">
      <c r="A73" s="3" t="s">
        <v>71</v>
      </c>
      <c r="B73" s="254"/>
      <c r="C73" s="11">
        <v>0</v>
      </c>
      <c r="D73" s="11">
        <v>0</v>
      </c>
      <c r="E73" s="11"/>
      <c r="F73" s="11"/>
      <c r="G73" s="11"/>
      <c r="H73" s="11"/>
      <c r="I73" s="50"/>
      <c r="J73" s="11"/>
      <c r="K73" s="11"/>
      <c r="L73" s="11"/>
      <c r="M73" s="11"/>
      <c r="N73" s="11"/>
    </row>
    <row r="74" spans="1:15" ht="18" customHeight="1">
      <c r="A74" s="3" t="s">
        <v>19</v>
      </c>
      <c r="B74" s="222">
        <f>SUM(B65:B73)</f>
        <v>1700</v>
      </c>
      <c r="C74" s="32">
        <f>SUM(C65:C73)</f>
        <v>1988</v>
      </c>
      <c r="D74" s="32">
        <f>SUM(D65:D73)</f>
        <v>1593</v>
      </c>
      <c r="E74" s="32">
        <f>SUM(E65:E73)</f>
        <v>0</v>
      </c>
      <c r="F74" s="32">
        <f t="shared" ref="F74:N74" si="7">SUM(F65:F73)</f>
        <v>0</v>
      </c>
      <c r="G74" s="32">
        <f t="shared" si="7"/>
        <v>0</v>
      </c>
      <c r="H74" s="32">
        <f t="shared" si="7"/>
        <v>0</v>
      </c>
      <c r="I74" s="32">
        <f t="shared" si="7"/>
        <v>0</v>
      </c>
      <c r="J74" s="32">
        <f t="shared" si="7"/>
        <v>0</v>
      </c>
      <c r="K74" s="32">
        <f t="shared" si="7"/>
        <v>0</v>
      </c>
      <c r="L74" s="32">
        <f t="shared" si="7"/>
        <v>0</v>
      </c>
      <c r="M74" s="32">
        <f t="shared" si="7"/>
        <v>0</v>
      </c>
      <c r="N74" s="11">
        <f t="shared" si="7"/>
        <v>0</v>
      </c>
      <c r="O74" s="83"/>
    </row>
    <row r="75" spans="1:15" ht="9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</row>
    <row r="76" spans="1:15" ht="39">
      <c r="A76" s="33" t="s">
        <v>72</v>
      </c>
      <c r="B76" s="45" t="s">
        <v>3</v>
      </c>
      <c r="C76" s="44" t="s">
        <v>4</v>
      </c>
      <c r="D76" s="44" t="s">
        <v>5</v>
      </c>
      <c r="E76" s="44" t="s">
        <v>6</v>
      </c>
      <c r="F76" s="44" t="s">
        <v>7</v>
      </c>
      <c r="G76" s="44" t="s">
        <v>8</v>
      </c>
      <c r="H76" s="44" t="s">
        <v>9</v>
      </c>
      <c r="I76" s="44" t="s">
        <v>10</v>
      </c>
      <c r="J76" s="44" t="s">
        <v>11</v>
      </c>
      <c r="K76" s="44" t="s">
        <v>12</v>
      </c>
      <c r="L76" s="44" t="s">
        <v>13</v>
      </c>
      <c r="M76" s="44" t="s">
        <v>14</v>
      </c>
      <c r="N76" s="44" t="s">
        <v>15</v>
      </c>
    </row>
    <row r="77" spans="1:15" ht="21.75" customHeight="1">
      <c r="A77" s="34" t="s">
        <v>73</v>
      </c>
      <c r="B77" s="223">
        <v>365</v>
      </c>
      <c r="C77" s="10">
        <v>408</v>
      </c>
      <c r="D77" s="10">
        <v>312</v>
      </c>
      <c r="E77" s="10"/>
      <c r="F77" s="10"/>
      <c r="G77" s="10"/>
      <c r="H77" s="10"/>
      <c r="I77" s="10"/>
      <c r="J77" s="47"/>
      <c r="K77" s="47"/>
      <c r="L77" s="47"/>
      <c r="M77" s="47"/>
      <c r="N77" s="47"/>
    </row>
    <row r="78" spans="1:15" ht="10.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</row>
    <row r="79" spans="1:15" ht="39">
      <c r="A79" s="1" t="s">
        <v>74</v>
      </c>
      <c r="B79" s="45" t="s">
        <v>3</v>
      </c>
      <c r="C79" s="44" t="s">
        <v>4</v>
      </c>
      <c r="D79" s="44" t="s">
        <v>5</v>
      </c>
      <c r="E79" s="44" t="s">
        <v>6</v>
      </c>
      <c r="F79" s="44" t="s">
        <v>7</v>
      </c>
      <c r="G79" s="44" t="s">
        <v>8</v>
      </c>
      <c r="H79" s="44" t="s">
        <v>9</v>
      </c>
      <c r="I79" s="44" t="s">
        <v>10</v>
      </c>
      <c r="J79" s="44" t="s">
        <v>11</v>
      </c>
      <c r="K79" s="44" t="s">
        <v>12</v>
      </c>
      <c r="L79" s="44" t="s">
        <v>13</v>
      </c>
      <c r="M79" s="44" t="s">
        <v>14</v>
      </c>
      <c r="N79" s="44" t="s">
        <v>15</v>
      </c>
    </row>
    <row r="80" spans="1:15" ht="16.5" customHeight="1">
      <c r="A80" s="21" t="s">
        <v>75</v>
      </c>
      <c r="B80" s="198">
        <v>100</v>
      </c>
      <c r="C80" s="10">
        <v>96</v>
      </c>
      <c r="D80" s="10">
        <v>102</v>
      </c>
      <c r="E80" s="10"/>
      <c r="F80" s="10"/>
      <c r="G80" s="10"/>
      <c r="H80" s="21"/>
      <c r="I80" s="21"/>
      <c r="J80" s="21"/>
      <c r="K80" s="21"/>
      <c r="L80" s="99"/>
      <c r="M80" s="10"/>
      <c r="N80" s="21"/>
    </row>
    <row r="81" spans="1:14" ht="16.5" customHeight="1">
      <c r="A81" s="21" t="s">
        <v>76</v>
      </c>
      <c r="B81" s="198">
        <v>80</v>
      </c>
      <c r="C81" s="10">
        <v>55</v>
      </c>
      <c r="D81" s="10">
        <v>81</v>
      </c>
      <c r="E81" s="10"/>
      <c r="F81" s="10"/>
      <c r="G81" s="10"/>
      <c r="H81" s="21"/>
      <c r="I81" s="21"/>
      <c r="J81" s="21"/>
      <c r="K81" s="21"/>
      <c r="L81" s="99"/>
      <c r="M81" s="10"/>
      <c r="N81" s="21"/>
    </row>
    <row r="82" spans="1:14" ht="16.5" customHeight="1">
      <c r="A82" s="21" t="s">
        <v>77</v>
      </c>
      <c r="B82" s="198">
        <v>20</v>
      </c>
      <c r="C82" s="10">
        <v>0</v>
      </c>
      <c r="D82" s="10">
        <v>0</v>
      </c>
      <c r="E82" s="10"/>
      <c r="F82" s="10"/>
      <c r="G82" s="10"/>
      <c r="H82" s="21"/>
      <c r="I82" s="21"/>
      <c r="J82" s="21"/>
      <c r="K82" s="21"/>
      <c r="L82" s="99"/>
      <c r="M82" s="10"/>
      <c r="N82" s="21"/>
    </row>
    <row r="83" spans="1:14" ht="17.25" customHeight="1">
      <c r="A83" s="21" t="s">
        <v>78</v>
      </c>
      <c r="B83" s="198">
        <v>125</v>
      </c>
      <c r="C83" s="10">
        <v>231</v>
      </c>
      <c r="D83" s="10">
        <v>226</v>
      </c>
      <c r="E83" s="10"/>
      <c r="F83" s="10"/>
      <c r="G83" s="10"/>
      <c r="H83" s="21"/>
      <c r="I83" s="21"/>
      <c r="J83" s="21"/>
      <c r="K83" s="21"/>
      <c r="L83" s="99"/>
      <c r="M83" s="10"/>
      <c r="N83" s="130"/>
    </row>
    <row r="84" spans="1:14" ht="16.5" customHeight="1">
      <c r="A84" s="21" t="s">
        <v>79</v>
      </c>
      <c r="B84" s="198">
        <v>60</v>
      </c>
      <c r="C84" s="10">
        <v>130</v>
      </c>
      <c r="D84" s="10">
        <v>84</v>
      </c>
      <c r="E84" s="10"/>
      <c r="F84" s="10"/>
      <c r="G84" s="10"/>
      <c r="H84" s="21"/>
      <c r="I84" s="21"/>
      <c r="J84" s="21"/>
      <c r="K84" s="21"/>
      <c r="L84" s="99"/>
      <c r="M84" s="10"/>
      <c r="N84" s="21"/>
    </row>
    <row r="85" spans="1:14" ht="16.5" customHeight="1">
      <c r="A85" s="21" t="s">
        <v>80</v>
      </c>
      <c r="B85" s="198">
        <v>80</v>
      </c>
      <c r="C85" s="10">
        <v>147</v>
      </c>
      <c r="D85" s="10">
        <v>107</v>
      </c>
      <c r="E85" s="10"/>
      <c r="F85" s="10"/>
      <c r="G85" s="10"/>
      <c r="H85" s="21"/>
      <c r="I85" s="21"/>
      <c r="J85" s="21"/>
      <c r="K85" s="21"/>
      <c r="L85" s="99"/>
      <c r="M85" s="10"/>
      <c r="N85" s="21"/>
    </row>
    <row r="86" spans="1:14" s="23" customFormat="1" ht="16.5" customHeight="1">
      <c r="A86" s="21" t="s">
        <v>81</v>
      </c>
      <c r="B86" s="198" t="s">
        <v>22</v>
      </c>
      <c r="C86" s="26" t="s">
        <v>22</v>
      </c>
      <c r="D86" s="26" t="s">
        <v>22</v>
      </c>
      <c r="E86" s="26" t="s">
        <v>22</v>
      </c>
      <c r="F86" s="26" t="s">
        <v>22</v>
      </c>
      <c r="G86" s="26" t="s">
        <v>22</v>
      </c>
      <c r="H86" s="48" t="s">
        <v>22</v>
      </c>
      <c r="I86" s="48" t="s">
        <v>22</v>
      </c>
      <c r="J86" s="48" t="s">
        <v>22</v>
      </c>
      <c r="K86" s="48" t="s">
        <v>22</v>
      </c>
      <c r="L86" s="48" t="s">
        <v>22</v>
      </c>
      <c r="M86" s="26" t="s">
        <v>22</v>
      </c>
      <c r="N86" s="48" t="s">
        <v>22</v>
      </c>
    </row>
    <row r="87" spans="1:14" ht="16.5" customHeight="1">
      <c r="A87" s="21" t="s">
        <v>82</v>
      </c>
      <c r="B87" s="198" t="s">
        <v>22</v>
      </c>
      <c r="C87" s="26" t="s">
        <v>22</v>
      </c>
      <c r="D87" s="26" t="s">
        <v>22</v>
      </c>
      <c r="E87" s="26" t="s">
        <v>22</v>
      </c>
      <c r="F87" s="26" t="s">
        <v>22</v>
      </c>
      <c r="G87" s="26" t="s">
        <v>22</v>
      </c>
      <c r="H87" s="48" t="s">
        <v>22</v>
      </c>
      <c r="I87" s="48" t="s">
        <v>22</v>
      </c>
      <c r="J87" s="48" t="s">
        <v>22</v>
      </c>
      <c r="K87" s="48" t="s">
        <v>22</v>
      </c>
      <c r="L87" s="48" t="s">
        <v>22</v>
      </c>
      <c r="M87" s="26" t="s">
        <v>22</v>
      </c>
      <c r="N87" s="48" t="s">
        <v>22</v>
      </c>
    </row>
    <row r="88" spans="1:14" ht="16.5" customHeight="1">
      <c r="A88" s="21" t="s">
        <v>83</v>
      </c>
      <c r="B88" s="198" t="s">
        <v>22</v>
      </c>
      <c r="C88" s="26" t="s">
        <v>22</v>
      </c>
      <c r="D88" s="26" t="s">
        <v>22</v>
      </c>
      <c r="E88" s="26" t="s">
        <v>22</v>
      </c>
      <c r="F88" s="26" t="s">
        <v>22</v>
      </c>
      <c r="G88" s="26" t="s">
        <v>22</v>
      </c>
      <c r="H88" s="48" t="s">
        <v>22</v>
      </c>
      <c r="I88" s="48" t="s">
        <v>22</v>
      </c>
      <c r="J88" s="48" t="s">
        <v>22</v>
      </c>
      <c r="K88" s="48" t="s">
        <v>22</v>
      </c>
      <c r="L88" s="48" t="s">
        <v>22</v>
      </c>
      <c r="M88" s="26" t="s">
        <v>22</v>
      </c>
      <c r="N88" s="48" t="s">
        <v>22</v>
      </c>
    </row>
    <row r="89" spans="1:14" ht="16.5" customHeight="1">
      <c r="A89" s="21" t="s">
        <v>19</v>
      </c>
      <c r="B89" s="198">
        <f>SUM(B80:B85)</f>
        <v>465</v>
      </c>
      <c r="C89" s="26">
        <f t="shared" ref="C89:H89" si="8">SUM(C80:C85)</f>
        <v>659</v>
      </c>
      <c r="D89" s="26">
        <f t="shared" si="8"/>
        <v>600</v>
      </c>
      <c r="E89" s="26">
        <f t="shared" si="8"/>
        <v>0</v>
      </c>
      <c r="F89" s="26">
        <f t="shared" si="8"/>
        <v>0</v>
      </c>
      <c r="G89" s="26">
        <f t="shared" si="8"/>
        <v>0</v>
      </c>
      <c r="H89" s="48">
        <f t="shared" si="8"/>
        <v>0</v>
      </c>
      <c r="I89" s="48">
        <f>SUM(I80:I88)</f>
        <v>0</v>
      </c>
      <c r="J89" s="48">
        <f>SUM(J80:J88)</f>
        <v>0</v>
      </c>
      <c r="K89" s="48">
        <f>SUM(K80:K85)</f>
        <v>0</v>
      </c>
      <c r="L89" s="48">
        <f>SUM(L80:L85)</f>
        <v>0</v>
      </c>
      <c r="M89" s="26">
        <f>SUM(M80:M85)</f>
        <v>0</v>
      </c>
      <c r="N89" s="48">
        <f>SUM(N80:N85)</f>
        <v>0</v>
      </c>
    </row>
    <row r="90" spans="1:14" ht="39">
      <c r="A90" s="84" t="s">
        <v>84</v>
      </c>
      <c r="B90" s="86" t="s">
        <v>3</v>
      </c>
      <c r="C90" s="85" t="s">
        <v>4</v>
      </c>
      <c r="D90" s="85" t="s">
        <v>5</v>
      </c>
      <c r="E90" s="85" t="s">
        <v>6</v>
      </c>
      <c r="F90" s="85" t="s">
        <v>7</v>
      </c>
      <c r="G90" s="85" t="s">
        <v>8</v>
      </c>
      <c r="H90" s="85" t="s">
        <v>9</v>
      </c>
      <c r="I90" s="85" t="s">
        <v>10</v>
      </c>
      <c r="J90" s="85" t="s">
        <v>11</v>
      </c>
      <c r="K90" s="85" t="s">
        <v>12</v>
      </c>
      <c r="L90" s="85" t="s">
        <v>13</v>
      </c>
      <c r="M90" s="85" t="s">
        <v>14</v>
      </c>
      <c r="N90" s="85" t="s">
        <v>15</v>
      </c>
    </row>
    <row r="91" spans="1:14" ht="21" customHeight="1">
      <c r="A91" s="12" t="s">
        <v>85</v>
      </c>
      <c r="B91" s="224">
        <v>100</v>
      </c>
      <c r="C91" s="88">
        <v>53</v>
      </c>
      <c r="D91" s="88">
        <v>52</v>
      </c>
      <c r="E91" s="88"/>
      <c r="F91" s="88"/>
      <c r="G91" s="88"/>
      <c r="H91" s="88"/>
      <c r="I91" s="88"/>
      <c r="J91" s="88"/>
      <c r="K91" s="88"/>
      <c r="L91" s="21"/>
      <c r="M91" s="88"/>
      <c r="N91" s="88"/>
    </row>
    <row r="92" spans="1:14" ht="21" customHeight="1">
      <c r="A92" s="12" t="s">
        <v>86</v>
      </c>
      <c r="B92" s="224">
        <v>80</v>
      </c>
      <c r="C92" s="88">
        <v>32</v>
      </c>
      <c r="D92" s="88">
        <v>53</v>
      </c>
      <c r="E92" s="88"/>
      <c r="F92" s="88"/>
      <c r="G92" s="88"/>
      <c r="H92" s="88"/>
      <c r="I92" s="88"/>
      <c r="J92" s="88"/>
      <c r="K92" s="88"/>
      <c r="L92" s="21"/>
      <c r="M92" s="88"/>
      <c r="N92" s="88"/>
    </row>
    <row r="93" spans="1:14" ht="19.5" customHeight="1">
      <c r="A93" s="12" t="s">
        <v>87</v>
      </c>
      <c r="B93" s="224">
        <v>20</v>
      </c>
      <c r="C93" s="88">
        <v>0</v>
      </c>
      <c r="D93" s="88">
        <v>0</v>
      </c>
      <c r="E93" s="88"/>
      <c r="F93" s="88"/>
      <c r="G93" s="88"/>
      <c r="H93" s="88"/>
      <c r="I93" s="88"/>
      <c r="J93" s="88"/>
      <c r="K93" s="88"/>
      <c r="L93" s="21"/>
      <c r="M93" s="88"/>
      <c r="N93" s="88"/>
    </row>
    <row r="94" spans="1:14" ht="21.75" customHeight="1">
      <c r="A94" s="51" t="s">
        <v>78</v>
      </c>
      <c r="B94" s="224">
        <v>125</v>
      </c>
      <c r="C94" s="88">
        <v>279</v>
      </c>
      <c r="D94" s="88">
        <v>237</v>
      </c>
      <c r="E94" s="88"/>
      <c r="F94" s="88"/>
      <c r="G94" s="88"/>
      <c r="H94" s="88"/>
      <c r="I94" s="88"/>
      <c r="J94" s="88"/>
      <c r="K94" s="88"/>
      <c r="L94" s="21"/>
      <c r="M94" s="88"/>
      <c r="N94" s="88"/>
    </row>
    <row r="95" spans="1:14" ht="20.25" customHeight="1">
      <c r="A95" s="52" t="s">
        <v>88</v>
      </c>
      <c r="B95" s="224">
        <v>60</v>
      </c>
      <c r="C95" s="88">
        <v>66</v>
      </c>
      <c r="D95" s="88">
        <v>43</v>
      </c>
      <c r="E95" s="88"/>
      <c r="F95" s="88"/>
      <c r="G95" s="88"/>
      <c r="H95" s="88"/>
      <c r="I95" s="88"/>
      <c r="J95" s="88"/>
      <c r="K95" s="88"/>
      <c r="L95" s="21"/>
      <c r="M95" s="88"/>
      <c r="N95" s="88"/>
    </row>
    <row r="96" spans="1:14" ht="21" customHeight="1">
      <c r="A96" s="52" t="s">
        <v>89</v>
      </c>
      <c r="B96" s="224">
        <v>80</v>
      </c>
      <c r="C96" s="88">
        <f>91+26</f>
        <v>117</v>
      </c>
      <c r="D96" s="88">
        <f>39+35</f>
        <v>74</v>
      </c>
      <c r="E96" s="88"/>
      <c r="F96" s="88"/>
      <c r="G96" s="88"/>
      <c r="H96" s="88"/>
      <c r="I96" s="88"/>
      <c r="J96" s="88"/>
      <c r="K96" s="88"/>
      <c r="L96" s="21"/>
      <c r="M96" s="88"/>
      <c r="N96" s="88"/>
    </row>
    <row r="97" spans="1:174" ht="22.5" customHeight="1">
      <c r="A97" s="12" t="s">
        <v>81</v>
      </c>
      <c r="B97" s="224" t="s">
        <v>22</v>
      </c>
      <c r="C97" s="87" t="s">
        <v>22</v>
      </c>
      <c r="D97" s="87" t="s">
        <v>22</v>
      </c>
      <c r="E97" s="87" t="s">
        <v>22</v>
      </c>
      <c r="F97" s="87" t="s">
        <v>22</v>
      </c>
      <c r="G97" s="87" t="s">
        <v>22</v>
      </c>
      <c r="H97" s="87" t="s">
        <v>22</v>
      </c>
      <c r="I97" s="87" t="s">
        <v>22</v>
      </c>
      <c r="J97" s="87" t="s">
        <v>22</v>
      </c>
      <c r="K97" s="87" t="s">
        <v>22</v>
      </c>
      <c r="L97" s="87" t="s">
        <v>22</v>
      </c>
      <c r="M97" s="87" t="s">
        <v>22</v>
      </c>
      <c r="N97" s="87" t="s">
        <v>22</v>
      </c>
    </row>
    <row r="98" spans="1:174" ht="20.25" customHeight="1">
      <c r="A98" s="52" t="s">
        <v>82</v>
      </c>
      <c r="B98" s="224" t="s">
        <v>90</v>
      </c>
      <c r="C98" s="87" t="s">
        <v>90</v>
      </c>
      <c r="D98" s="87" t="s">
        <v>90</v>
      </c>
      <c r="E98" s="87" t="s">
        <v>90</v>
      </c>
      <c r="F98" s="87" t="s">
        <v>22</v>
      </c>
      <c r="G98" s="87" t="s">
        <v>22</v>
      </c>
      <c r="H98" s="87" t="s">
        <v>22</v>
      </c>
      <c r="I98" s="87" t="s">
        <v>22</v>
      </c>
      <c r="J98" s="87" t="s">
        <v>22</v>
      </c>
      <c r="K98" s="87" t="s">
        <v>90</v>
      </c>
      <c r="L98" s="87" t="s">
        <v>90</v>
      </c>
      <c r="M98" s="87" t="s">
        <v>90</v>
      </c>
      <c r="N98" s="87" t="s">
        <v>90</v>
      </c>
    </row>
    <row r="99" spans="1:174" ht="21.75" customHeight="1">
      <c r="A99" s="12" t="s">
        <v>83</v>
      </c>
      <c r="B99" s="224" t="s">
        <v>22</v>
      </c>
      <c r="C99" s="87" t="s">
        <v>22</v>
      </c>
      <c r="D99" s="87" t="s">
        <v>22</v>
      </c>
      <c r="E99" s="87" t="s">
        <v>22</v>
      </c>
      <c r="F99" s="87" t="s">
        <v>22</v>
      </c>
      <c r="G99" s="87" t="s">
        <v>22</v>
      </c>
      <c r="H99" s="87" t="s">
        <v>22</v>
      </c>
      <c r="I99" s="87" t="s">
        <v>22</v>
      </c>
      <c r="J99" s="87" t="s">
        <v>22</v>
      </c>
      <c r="K99" s="87" t="s">
        <v>22</v>
      </c>
      <c r="L99" s="87" t="s">
        <v>22</v>
      </c>
      <c r="M99" s="87" t="s">
        <v>22</v>
      </c>
      <c r="N99" s="87" t="s">
        <v>22</v>
      </c>
    </row>
    <row r="100" spans="1:174" ht="20.25" customHeight="1">
      <c r="A100" s="17" t="s">
        <v>91</v>
      </c>
      <c r="B100" s="225">
        <v>465</v>
      </c>
      <c r="C100" s="89">
        <f>SUM(C91:C96)</f>
        <v>547</v>
      </c>
      <c r="D100" s="89">
        <f t="shared" ref="D100:N100" si="9">SUM(D91:D96)</f>
        <v>459</v>
      </c>
      <c r="E100" s="89">
        <f t="shared" si="9"/>
        <v>0</v>
      </c>
      <c r="F100" s="89">
        <f t="shared" si="9"/>
        <v>0</v>
      </c>
      <c r="G100" s="89">
        <f t="shared" si="9"/>
        <v>0</v>
      </c>
      <c r="H100" s="89">
        <f t="shared" si="9"/>
        <v>0</v>
      </c>
      <c r="I100" s="89">
        <f t="shared" si="9"/>
        <v>0</v>
      </c>
      <c r="J100" s="89">
        <f t="shared" si="9"/>
        <v>0</v>
      </c>
      <c r="K100" s="89">
        <f t="shared" si="9"/>
        <v>0</v>
      </c>
      <c r="L100" s="89">
        <f t="shared" si="9"/>
        <v>0</v>
      </c>
      <c r="M100" s="89">
        <f>SUM(M91:M96)</f>
        <v>0</v>
      </c>
      <c r="N100" s="89">
        <f t="shared" si="9"/>
        <v>0</v>
      </c>
      <c r="O100" s="83"/>
      <c r="P100" s="83"/>
    </row>
    <row r="101" spans="1:174" ht="7.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83"/>
    </row>
    <row r="102" spans="1:174" ht="39">
      <c r="A102" s="84" t="s">
        <v>92</v>
      </c>
      <c r="B102" s="86" t="s">
        <v>3</v>
      </c>
      <c r="C102" s="85" t="s">
        <v>4</v>
      </c>
      <c r="D102" s="85" t="s">
        <v>5</v>
      </c>
      <c r="E102" s="85" t="s">
        <v>6</v>
      </c>
      <c r="F102" s="85" t="s">
        <v>7</v>
      </c>
      <c r="G102" s="85" t="s">
        <v>8</v>
      </c>
      <c r="H102" s="85" t="s">
        <v>9</v>
      </c>
      <c r="I102" s="85" t="s">
        <v>10</v>
      </c>
      <c r="J102" s="85" t="s">
        <v>11</v>
      </c>
      <c r="K102" s="85" t="s">
        <v>12</v>
      </c>
      <c r="L102" s="85" t="s">
        <v>13</v>
      </c>
      <c r="M102" s="85" t="s">
        <v>14</v>
      </c>
      <c r="N102" s="85" t="s">
        <v>15</v>
      </c>
      <c r="O102" s="83"/>
      <c r="P102" s="83"/>
    </row>
    <row r="103" spans="1:174" s="36" customFormat="1" ht="18.75" customHeight="1">
      <c r="A103" s="12" t="s">
        <v>85</v>
      </c>
      <c r="B103" s="224" t="s">
        <v>90</v>
      </c>
      <c r="C103" s="88">
        <v>27</v>
      </c>
      <c r="D103" s="88">
        <v>19</v>
      </c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3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</row>
    <row r="104" spans="1:174" s="36" customFormat="1" ht="20.25" customHeight="1">
      <c r="A104" s="12" t="s">
        <v>86</v>
      </c>
      <c r="B104" s="224" t="s">
        <v>90</v>
      </c>
      <c r="C104" s="88">
        <v>159</v>
      </c>
      <c r="D104" s="88">
        <v>180</v>
      </c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3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</row>
    <row r="105" spans="1:174" s="36" customFormat="1" ht="18" customHeight="1">
      <c r="A105" s="12" t="s">
        <v>87</v>
      </c>
      <c r="B105" s="224" t="s">
        <v>90</v>
      </c>
      <c r="C105" s="88">
        <v>0</v>
      </c>
      <c r="D105" s="88">
        <v>0</v>
      </c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3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</row>
    <row r="106" spans="1:174" ht="20.25" customHeight="1">
      <c r="A106" s="52" t="s">
        <v>93</v>
      </c>
      <c r="B106" s="224" t="s">
        <v>90</v>
      </c>
      <c r="C106" s="88">
        <v>5861</v>
      </c>
      <c r="D106" s="88">
        <v>5311</v>
      </c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3"/>
    </row>
    <row r="107" spans="1:174" ht="19.5" customHeight="1">
      <c r="A107" s="52" t="s">
        <v>88</v>
      </c>
      <c r="B107" s="224" t="s">
        <v>90</v>
      </c>
      <c r="C107" s="88">
        <v>126</v>
      </c>
      <c r="D107" s="88">
        <v>133</v>
      </c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3"/>
    </row>
    <row r="108" spans="1:174" ht="20.25" customHeight="1">
      <c r="A108" s="52" t="s">
        <v>89</v>
      </c>
      <c r="B108" s="224" t="s">
        <v>90</v>
      </c>
      <c r="C108" s="88">
        <v>55</v>
      </c>
      <c r="D108" s="88">
        <f>36</f>
        <v>36</v>
      </c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3"/>
    </row>
    <row r="109" spans="1:174" ht="20.25" customHeight="1">
      <c r="A109" s="12" t="s">
        <v>94</v>
      </c>
      <c r="B109" s="224" t="s">
        <v>90</v>
      </c>
      <c r="C109" s="88">
        <v>63072</v>
      </c>
      <c r="D109" s="88">
        <v>53216</v>
      </c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3"/>
      <c r="P109" s="83"/>
    </row>
    <row r="110" spans="1:174" ht="18" customHeight="1">
      <c r="A110" s="12" t="s">
        <v>95</v>
      </c>
      <c r="B110" s="224" t="s">
        <v>90</v>
      </c>
      <c r="C110" s="88">
        <v>244</v>
      </c>
      <c r="D110" s="88">
        <v>199</v>
      </c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3"/>
      <c r="P110" s="83"/>
    </row>
    <row r="111" spans="1:174" ht="21.75" customHeight="1">
      <c r="A111" s="12" t="s">
        <v>81</v>
      </c>
      <c r="B111" s="224" t="s">
        <v>90</v>
      </c>
      <c r="C111" s="88">
        <v>707</v>
      </c>
      <c r="D111" s="88">
        <v>578</v>
      </c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3"/>
      <c r="P111" s="83"/>
    </row>
    <row r="112" spans="1:174" ht="18" customHeight="1">
      <c r="A112" s="52" t="s">
        <v>96</v>
      </c>
      <c r="B112" s="224" t="s">
        <v>90</v>
      </c>
      <c r="C112" s="88">
        <v>3941</v>
      </c>
      <c r="D112" s="88">
        <v>3680</v>
      </c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3"/>
    </row>
    <row r="113" spans="1:17" ht="18.75" customHeight="1">
      <c r="A113" s="12" t="s">
        <v>97</v>
      </c>
      <c r="B113" s="224" t="s">
        <v>90</v>
      </c>
      <c r="C113" s="88">
        <v>13</v>
      </c>
      <c r="D113" s="88">
        <v>17</v>
      </c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3"/>
      <c r="P113" s="83"/>
    </row>
    <row r="114" spans="1:17" ht="18" customHeight="1">
      <c r="A114" s="37" t="s">
        <v>91</v>
      </c>
      <c r="B114" s="224" t="s">
        <v>90</v>
      </c>
      <c r="C114" s="32">
        <f>SUM(C103:C113)</f>
        <v>74205</v>
      </c>
      <c r="D114" s="32">
        <f t="shared" ref="D114:E114" si="10">SUM(D103:D113)</f>
        <v>63369</v>
      </c>
      <c r="E114" s="32">
        <f t="shared" si="10"/>
        <v>0</v>
      </c>
      <c r="F114" s="32">
        <f t="shared" ref="F114" si="11">SUM(F103:F113)</f>
        <v>0</v>
      </c>
      <c r="G114" s="32">
        <f t="shared" ref="G114" si="12">SUM(G103:G113)</f>
        <v>0</v>
      </c>
      <c r="H114" s="32">
        <f t="shared" ref="H114:I114" si="13">SUM(H103:H113)</f>
        <v>0</v>
      </c>
      <c r="I114" s="49">
        <f t="shared" si="13"/>
        <v>0</v>
      </c>
      <c r="J114" s="49">
        <f>SUM(J103:J113)</f>
        <v>0</v>
      </c>
      <c r="K114" s="49">
        <f>SUM(K103:K113)</f>
        <v>0</v>
      </c>
      <c r="L114" s="32">
        <f t="shared" ref="L114" si="14">SUM(L103:L113)</f>
        <v>0</v>
      </c>
      <c r="M114" s="32">
        <f>SUM(M103:M113)</f>
        <v>0</v>
      </c>
      <c r="N114" s="32">
        <f t="shared" ref="N114" si="15">SUM(N103:N113)</f>
        <v>0</v>
      </c>
      <c r="O114" s="83"/>
      <c r="P114" s="83"/>
      <c r="Q114" s="83"/>
    </row>
    <row r="115" spans="1:17" ht="9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P115" s="83"/>
    </row>
    <row r="116" spans="1:17" ht="39">
      <c r="A116" s="1" t="s">
        <v>98</v>
      </c>
      <c r="B116" s="45" t="s">
        <v>3</v>
      </c>
      <c r="C116" s="44" t="s">
        <v>4</v>
      </c>
      <c r="D116" s="44" t="s">
        <v>5</v>
      </c>
      <c r="E116" s="44" t="s">
        <v>6</v>
      </c>
      <c r="F116" s="44" t="s">
        <v>7</v>
      </c>
      <c r="G116" s="44" t="s">
        <v>8</v>
      </c>
      <c r="H116" s="44" t="s">
        <v>9</v>
      </c>
      <c r="I116" s="44" t="s">
        <v>10</v>
      </c>
      <c r="J116" s="44" t="s">
        <v>11</v>
      </c>
      <c r="K116" s="44" t="s">
        <v>12</v>
      </c>
      <c r="L116" s="44" t="s">
        <v>13</v>
      </c>
      <c r="M116" s="44" t="s">
        <v>14</v>
      </c>
      <c r="N116" s="44" t="s">
        <v>15</v>
      </c>
    </row>
    <row r="117" spans="1:17" ht="17.25" customHeight="1">
      <c r="A117" s="38" t="s">
        <v>99</v>
      </c>
      <c r="B117" s="224" t="s">
        <v>90</v>
      </c>
      <c r="C117" s="11">
        <v>60</v>
      </c>
      <c r="D117" s="11">
        <v>45</v>
      </c>
      <c r="E117" s="11"/>
      <c r="F117" s="11"/>
      <c r="G117" s="11"/>
      <c r="H117" s="11"/>
      <c r="I117" s="50"/>
      <c r="J117" s="39"/>
      <c r="K117" s="39"/>
      <c r="L117" s="39"/>
      <c r="M117" s="39"/>
      <c r="N117" s="39"/>
    </row>
    <row r="118" spans="1:17" ht="18" customHeight="1">
      <c r="A118" s="40" t="s">
        <v>100</v>
      </c>
      <c r="B118" s="224" t="s">
        <v>90</v>
      </c>
      <c r="C118" s="11">
        <v>318</v>
      </c>
      <c r="D118" s="11">
        <v>288</v>
      </c>
      <c r="E118" s="11"/>
      <c r="F118" s="11"/>
      <c r="G118" s="11"/>
      <c r="H118" s="11"/>
      <c r="I118" s="50"/>
      <c r="J118" s="39"/>
      <c r="K118" s="39"/>
      <c r="L118" s="39"/>
      <c r="M118" s="39"/>
      <c r="N118" s="39"/>
      <c r="P118" s="83"/>
    </row>
    <row r="119" spans="1:17" ht="18.75" customHeight="1">
      <c r="A119" s="41" t="s">
        <v>101</v>
      </c>
      <c r="B119" s="224" t="s">
        <v>90</v>
      </c>
      <c r="C119" s="11">
        <v>1787</v>
      </c>
      <c r="D119" s="11">
        <v>1460</v>
      </c>
      <c r="E119" s="11"/>
      <c r="F119" s="11"/>
      <c r="G119" s="11"/>
      <c r="H119" s="11"/>
      <c r="I119" s="50"/>
      <c r="J119" s="39"/>
      <c r="K119" s="39"/>
      <c r="L119" s="39"/>
      <c r="M119" s="39"/>
      <c r="N119" s="39"/>
    </row>
    <row r="120" spans="1:17" ht="15" customHeight="1">
      <c r="A120" s="42" t="s">
        <v>102</v>
      </c>
      <c r="B120" s="224" t="s">
        <v>90</v>
      </c>
      <c r="C120" s="11">
        <v>89</v>
      </c>
      <c r="D120" s="11">
        <v>133</v>
      </c>
      <c r="E120" s="11"/>
      <c r="F120" s="11"/>
      <c r="G120" s="11"/>
      <c r="H120" s="11"/>
      <c r="I120" s="50"/>
      <c r="J120" s="39"/>
      <c r="K120" s="39"/>
      <c r="L120" s="39"/>
      <c r="M120" s="39"/>
      <c r="N120" s="39"/>
    </row>
    <row r="121" spans="1:17" ht="15.75" customHeight="1">
      <c r="A121" s="43" t="s">
        <v>103</v>
      </c>
      <c r="B121" s="224" t="s">
        <v>90</v>
      </c>
      <c r="C121" s="11">
        <v>39</v>
      </c>
      <c r="D121" s="11">
        <v>8</v>
      </c>
      <c r="E121" s="11"/>
      <c r="F121" s="11"/>
      <c r="G121" s="11"/>
      <c r="H121" s="11"/>
      <c r="I121" s="50"/>
      <c r="J121" s="39"/>
      <c r="K121" s="39"/>
      <c r="L121" s="39"/>
      <c r="M121" s="39"/>
      <c r="N121" s="39"/>
    </row>
    <row r="122" spans="1:17" ht="19.5" customHeight="1">
      <c r="A122" s="7" t="s">
        <v>104</v>
      </c>
      <c r="B122" s="224" t="s">
        <v>90</v>
      </c>
      <c r="C122" s="11">
        <v>545</v>
      </c>
      <c r="D122" s="11">
        <v>469</v>
      </c>
      <c r="E122" s="11"/>
      <c r="F122" s="11"/>
      <c r="G122" s="11"/>
      <c r="H122" s="11"/>
      <c r="I122" s="50"/>
      <c r="J122" s="39"/>
      <c r="K122" s="39"/>
      <c r="L122" s="39"/>
      <c r="M122" s="39"/>
      <c r="N122" s="39"/>
    </row>
    <row r="123" spans="1:17" ht="18.75" customHeight="1">
      <c r="A123" s="1" t="s">
        <v>91</v>
      </c>
      <c r="B123" s="224" t="s">
        <v>90</v>
      </c>
      <c r="C123" s="32">
        <f t="shared" ref="C123:D123" si="16">SUM(C117:C122)</f>
        <v>2838</v>
      </c>
      <c r="D123" s="32">
        <f t="shared" si="16"/>
        <v>2403</v>
      </c>
      <c r="E123" s="32">
        <f>SUM(E117:E122)</f>
        <v>0</v>
      </c>
      <c r="F123" s="32">
        <f>SUM(F117:F122)</f>
        <v>0</v>
      </c>
      <c r="G123" s="32">
        <f>SUM(G117:G122)</f>
        <v>0</v>
      </c>
      <c r="H123" s="32">
        <f>SUM(H117:H122)</f>
        <v>0</v>
      </c>
      <c r="I123" s="49">
        <f t="shared" ref="I123:J123" si="17">SUM(I117:I122)</f>
        <v>0</v>
      </c>
      <c r="J123" s="49">
        <f t="shared" si="17"/>
        <v>0</v>
      </c>
      <c r="K123" s="49">
        <f>SUM(K117:K122)</f>
        <v>0</v>
      </c>
      <c r="L123" s="49">
        <f>SUM(L117:L122)</f>
        <v>0</v>
      </c>
      <c r="M123" s="49">
        <f>SUM(M117:M122)</f>
        <v>0</v>
      </c>
      <c r="N123" s="49">
        <f>SUM(N117:N122)</f>
        <v>0</v>
      </c>
    </row>
    <row r="124" spans="1:17" ht="6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1:17" ht="39">
      <c r="A125" s="1" t="s">
        <v>105</v>
      </c>
      <c r="B125" s="45" t="s">
        <v>3</v>
      </c>
      <c r="C125" s="44" t="s">
        <v>4</v>
      </c>
      <c r="D125" s="44" t="s">
        <v>5</v>
      </c>
      <c r="E125" s="44" t="s">
        <v>6</v>
      </c>
      <c r="F125" s="44" t="s">
        <v>7</v>
      </c>
      <c r="G125" s="44" t="s">
        <v>8</v>
      </c>
      <c r="H125" s="44" t="s">
        <v>9</v>
      </c>
      <c r="I125" s="44" t="s">
        <v>10</v>
      </c>
      <c r="J125" s="44" t="s">
        <v>11</v>
      </c>
      <c r="K125" s="44" t="s">
        <v>12</v>
      </c>
      <c r="L125" s="44" t="s">
        <v>13</v>
      </c>
      <c r="M125" s="44" t="s">
        <v>14</v>
      </c>
      <c r="N125" s="44" t="s">
        <v>15</v>
      </c>
    </row>
    <row r="126" spans="1:17" ht="18.75" customHeight="1">
      <c r="A126" s="3" t="s">
        <v>106</v>
      </c>
      <c r="B126" s="224" t="s">
        <v>90</v>
      </c>
      <c r="C126" s="11">
        <v>503</v>
      </c>
      <c r="D126" s="11">
        <v>460</v>
      </c>
      <c r="E126" s="11"/>
      <c r="F126" s="11"/>
      <c r="G126" s="11"/>
      <c r="H126" s="11"/>
      <c r="I126" s="50"/>
      <c r="J126" s="50"/>
      <c r="K126" s="39"/>
      <c r="L126" s="39"/>
      <c r="M126" s="39"/>
      <c r="N126" s="39"/>
    </row>
    <row r="127" spans="1:17" ht="18.75" customHeight="1">
      <c r="A127" s="3" t="s">
        <v>107</v>
      </c>
      <c r="B127" s="224" t="s">
        <v>90</v>
      </c>
      <c r="C127" s="11">
        <v>2335</v>
      </c>
      <c r="D127" s="11">
        <v>1943</v>
      </c>
      <c r="E127" s="11"/>
      <c r="F127" s="11"/>
      <c r="G127" s="11"/>
      <c r="H127" s="11"/>
      <c r="I127" s="50"/>
      <c r="J127" s="50"/>
      <c r="K127" s="39"/>
      <c r="L127" s="39"/>
      <c r="M127" s="39"/>
      <c r="N127" s="39"/>
    </row>
    <row r="128" spans="1:17" ht="18.75" customHeight="1">
      <c r="A128" s="37" t="s">
        <v>91</v>
      </c>
      <c r="B128" s="224" t="s">
        <v>90</v>
      </c>
      <c r="C128" s="32">
        <f t="shared" ref="C128:D128" si="18">SUM(C126:C127)</f>
        <v>2838</v>
      </c>
      <c r="D128" s="32">
        <f t="shared" si="18"/>
        <v>2403</v>
      </c>
      <c r="E128" s="32">
        <f>SUM(E126:E127)</f>
        <v>0</v>
      </c>
      <c r="F128" s="32">
        <f>SUM(F126:F127)</f>
        <v>0</v>
      </c>
      <c r="G128" s="32">
        <f>SUM(G126:G127)</f>
        <v>0</v>
      </c>
      <c r="H128" s="32">
        <f>SUM(H126:H127)</f>
        <v>0</v>
      </c>
      <c r="I128" s="49">
        <f t="shared" ref="I128:J128" si="19">SUM(I126:I127)</f>
        <v>0</v>
      </c>
      <c r="J128" s="49">
        <f t="shared" si="19"/>
        <v>0</v>
      </c>
      <c r="K128" s="49">
        <f>SUM(K126:K127)</f>
        <v>0</v>
      </c>
      <c r="L128" s="49">
        <f>SUM(L126:L127)</f>
        <v>0</v>
      </c>
      <c r="M128" s="49">
        <f>SUM(M126:M127)</f>
        <v>0</v>
      </c>
      <c r="N128" s="49">
        <f>SUM(N126:N127)</f>
        <v>0</v>
      </c>
      <c r="O128" s="83"/>
    </row>
    <row r="129" spans="1:17" ht="6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</row>
    <row r="130" spans="1:17" ht="39">
      <c r="A130" s="1" t="s">
        <v>108</v>
      </c>
      <c r="B130" s="45" t="s">
        <v>3</v>
      </c>
      <c r="C130" s="44" t="s">
        <v>4</v>
      </c>
      <c r="D130" s="44" t="s">
        <v>5</v>
      </c>
      <c r="E130" s="44" t="s">
        <v>6</v>
      </c>
      <c r="F130" s="44" t="s">
        <v>7</v>
      </c>
      <c r="G130" s="44" t="s">
        <v>8</v>
      </c>
      <c r="H130" s="44" t="s">
        <v>9</v>
      </c>
      <c r="I130" s="44" t="s">
        <v>10</v>
      </c>
      <c r="J130" s="44" t="s">
        <v>11</v>
      </c>
      <c r="K130" s="44" t="s">
        <v>12</v>
      </c>
      <c r="L130" s="44" t="s">
        <v>13</v>
      </c>
      <c r="M130" s="44" t="s">
        <v>14</v>
      </c>
      <c r="N130" s="44" t="s">
        <v>15</v>
      </c>
    </row>
    <row r="131" spans="1:17" ht="19.5" customHeight="1">
      <c r="A131" s="3" t="s">
        <v>109</v>
      </c>
      <c r="B131" s="224" t="s">
        <v>90</v>
      </c>
      <c r="C131" s="10">
        <v>5</v>
      </c>
      <c r="D131" s="10">
        <v>11</v>
      </c>
      <c r="E131" s="10"/>
      <c r="F131" s="10"/>
      <c r="G131" s="10"/>
      <c r="H131" s="10"/>
      <c r="I131" s="51"/>
      <c r="J131" s="52"/>
      <c r="K131" s="10"/>
      <c r="L131" s="10"/>
      <c r="M131" s="10"/>
      <c r="N131" s="10"/>
    </row>
    <row r="132" spans="1:17" ht="21" customHeight="1">
      <c r="A132" s="3" t="s">
        <v>110</v>
      </c>
      <c r="B132" s="224" t="s">
        <v>90</v>
      </c>
      <c r="C132" s="10">
        <v>849</v>
      </c>
      <c r="D132" s="10">
        <v>746</v>
      </c>
      <c r="E132" s="10"/>
      <c r="F132" s="10"/>
      <c r="G132" s="10"/>
      <c r="H132" s="10"/>
      <c r="I132" s="51"/>
      <c r="J132" s="10"/>
      <c r="K132" s="10"/>
      <c r="L132" s="10"/>
      <c r="M132" s="10"/>
      <c r="N132" s="10"/>
    </row>
    <row r="133" spans="1:17" ht="19.5" customHeight="1">
      <c r="A133" s="3" t="s">
        <v>47</v>
      </c>
      <c r="B133" s="224" t="s">
        <v>90</v>
      </c>
      <c r="C133" s="10">
        <v>0</v>
      </c>
      <c r="D133" s="10">
        <v>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7" ht="21" customHeight="1">
      <c r="A134" s="3" t="s">
        <v>17</v>
      </c>
      <c r="B134" s="224" t="s">
        <v>90</v>
      </c>
      <c r="C134" s="10">
        <f>476+3+1+1+1115</f>
        <v>1596</v>
      </c>
      <c r="D134" s="10">
        <f>4+1052+1+3+1+1</f>
        <v>1062</v>
      </c>
      <c r="E134" s="10"/>
      <c r="F134" s="10"/>
      <c r="G134" s="10"/>
      <c r="H134" s="10"/>
      <c r="I134" s="51"/>
      <c r="J134" s="10"/>
      <c r="K134" s="10"/>
      <c r="L134" s="10"/>
      <c r="M134" s="10"/>
      <c r="N134" s="10"/>
    </row>
    <row r="135" spans="1:17" ht="21" customHeight="1">
      <c r="A135" s="3" t="s">
        <v>111</v>
      </c>
      <c r="B135" s="224" t="s">
        <v>90</v>
      </c>
      <c r="C135" s="10">
        <f>334+1</f>
        <v>335</v>
      </c>
      <c r="D135" s="10">
        <v>320</v>
      </c>
      <c r="E135" s="10"/>
      <c r="F135" s="10"/>
      <c r="G135" s="10"/>
      <c r="H135" s="10"/>
      <c r="I135" s="51"/>
      <c r="J135" s="10"/>
      <c r="K135" s="10"/>
      <c r="L135" s="10"/>
      <c r="M135" s="10"/>
      <c r="N135" s="10"/>
    </row>
    <row r="136" spans="1:17" ht="21" customHeight="1">
      <c r="A136" s="3" t="s">
        <v>30</v>
      </c>
      <c r="B136" s="224" t="s">
        <v>90</v>
      </c>
      <c r="C136" s="10">
        <v>11</v>
      </c>
      <c r="D136" s="10">
        <v>95</v>
      </c>
      <c r="E136" s="10"/>
      <c r="F136" s="10"/>
      <c r="G136" s="10"/>
      <c r="H136" s="10"/>
      <c r="I136" s="51"/>
      <c r="J136" s="10"/>
      <c r="K136" s="10"/>
      <c r="L136" s="10"/>
      <c r="M136" s="10"/>
      <c r="N136" s="10"/>
    </row>
    <row r="137" spans="1:17" ht="21" customHeight="1">
      <c r="A137" s="3" t="s">
        <v>53</v>
      </c>
      <c r="B137" s="224" t="s">
        <v>90</v>
      </c>
      <c r="C137" s="10">
        <v>6</v>
      </c>
      <c r="D137" s="10">
        <v>10</v>
      </c>
      <c r="E137" s="10"/>
      <c r="F137" s="10"/>
      <c r="G137" s="10"/>
      <c r="H137" s="10"/>
      <c r="I137" s="51"/>
      <c r="J137" s="10"/>
      <c r="K137" s="10"/>
      <c r="L137" s="10"/>
      <c r="M137" s="10"/>
      <c r="N137" s="10"/>
    </row>
    <row r="138" spans="1:17" ht="21" customHeight="1">
      <c r="A138" s="3" t="s">
        <v>112</v>
      </c>
      <c r="B138" s="224" t="s">
        <v>90</v>
      </c>
      <c r="C138" s="10">
        <v>30</v>
      </c>
      <c r="D138" s="10">
        <v>135</v>
      </c>
      <c r="E138" s="10"/>
      <c r="F138" s="10"/>
      <c r="G138" s="10"/>
      <c r="H138" s="10"/>
      <c r="I138" s="51"/>
      <c r="J138" s="10"/>
      <c r="K138" s="10"/>
      <c r="L138" s="10"/>
      <c r="M138" s="10"/>
      <c r="N138" s="10"/>
      <c r="Q138" s="127"/>
    </row>
    <row r="139" spans="1:17" ht="21" customHeight="1">
      <c r="A139" s="3" t="s">
        <v>113</v>
      </c>
      <c r="B139" s="224" t="s">
        <v>90</v>
      </c>
      <c r="C139" s="10">
        <v>6</v>
      </c>
      <c r="D139" s="10">
        <v>24</v>
      </c>
      <c r="E139" s="10"/>
      <c r="F139" s="10"/>
      <c r="G139" s="10"/>
      <c r="H139" s="10"/>
      <c r="I139" s="51"/>
      <c r="J139" s="10"/>
      <c r="K139" s="10"/>
      <c r="L139" s="10"/>
      <c r="M139" s="10"/>
      <c r="N139" s="10"/>
    </row>
    <row r="140" spans="1:17" ht="20.25" customHeight="1">
      <c r="A140" s="5" t="s">
        <v>91</v>
      </c>
      <c r="B140" s="224" t="s">
        <v>90</v>
      </c>
      <c r="C140" s="32">
        <f>SUM(C131:C139)</f>
        <v>2838</v>
      </c>
      <c r="D140" s="32">
        <f t="shared" ref="D140:M140" si="20">SUM(D131:D139)</f>
        <v>2403</v>
      </c>
      <c r="E140" s="32">
        <f t="shared" si="20"/>
        <v>0</v>
      </c>
      <c r="F140" s="32">
        <f t="shared" si="20"/>
        <v>0</v>
      </c>
      <c r="G140" s="26">
        <f t="shared" si="20"/>
        <v>0</v>
      </c>
      <c r="H140" s="32">
        <f t="shared" si="20"/>
        <v>0</v>
      </c>
      <c r="I140" s="53">
        <f>SUM(I131:I139)</f>
        <v>0</v>
      </c>
      <c r="J140" s="49">
        <f>SUM(J131:J139)</f>
        <v>0</v>
      </c>
      <c r="K140" s="49">
        <f>SUM(K131:K139)</f>
        <v>0</v>
      </c>
      <c r="L140" s="32">
        <f t="shared" si="20"/>
        <v>0</v>
      </c>
      <c r="M140" s="32">
        <f t="shared" si="20"/>
        <v>0</v>
      </c>
      <c r="N140" s="32">
        <f>SUM(N131:N139)</f>
        <v>0</v>
      </c>
    </row>
    <row r="141" spans="1:17" ht="9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</row>
    <row r="142" spans="1:17" ht="39">
      <c r="A142" s="4" t="s">
        <v>114</v>
      </c>
      <c r="B142" s="45" t="s">
        <v>3</v>
      </c>
      <c r="C142" s="44" t="s">
        <v>4</v>
      </c>
      <c r="D142" s="44" t="s">
        <v>5</v>
      </c>
      <c r="E142" s="44" t="s">
        <v>6</v>
      </c>
      <c r="F142" s="44" t="s">
        <v>7</v>
      </c>
      <c r="G142" s="44" t="s">
        <v>8</v>
      </c>
      <c r="H142" s="44" t="s">
        <v>9</v>
      </c>
      <c r="I142" s="44" t="s">
        <v>10</v>
      </c>
      <c r="J142" s="44" t="s">
        <v>11</v>
      </c>
      <c r="K142" s="44" t="s">
        <v>12</v>
      </c>
      <c r="L142" s="44" t="s">
        <v>13</v>
      </c>
      <c r="M142" s="44" t="s">
        <v>14</v>
      </c>
      <c r="N142" s="44" t="s">
        <v>15</v>
      </c>
    </row>
    <row r="143" spans="1:17" ht="20.25" customHeight="1">
      <c r="A143" s="5" t="s">
        <v>115</v>
      </c>
      <c r="B143" s="224" t="s">
        <v>90</v>
      </c>
      <c r="C143" s="180">
        <v>418</v>
      </c>
      <c r="D143" s="180">
        <v>327</v>
      </c>
      <c r="E143" s="180"/>
      <c r="F143" s="180"/>
      <c r="G143" s="181"/>
      <c r="H143" s="180"/>
      <c r="I143" s="182"/>
      <c r="J143" s="183"/>
      <c r="K143" s="49"/>
      <c r="L143" s="32"/>
      <c r="M143" s="32"/>
      <c r="N143" s="32"/>
    </row>
    <row r="144" spans="1:17" ht="14.45">
      <c r="A144" s="174"/>
      <c r="B144" s="138"/>
      <c r="C144" s="138"/>
      <c r="D144" s="138"/>
      <c r="E144" s="138"/>
      <c r="F144" s="138"/>
      <c r="G144" s="138"/>
      <c r="H144" s="138"/>
      <c r="I144" s="138"/>
      <c r="J144" s="138"/>
      <c r="K144" s="176"/>
      <c r="L144" s="116"/>
      <c r="M144" s="116"/>
      <c r="N144" s="116"/>
    </row>
    <row r="145" spans="1:174" s="15" customFormat="1" ht="15.6">
      <c r="A145" s="175"/>
      <c r="B145" s="178"/>
      <c r="C145" s="178"/>
      <c r="D145" s="178"/>
      <c r="E145" s="178" t="s">
        <v>116</v>
      </c>
      <c r="F145" s="178"/>
      <c r="G145" s="178"/>
      <c r="I145" s="179"/>
      <c r="J145" s="117"/>
      <c r="K145" s="177"/>
      <c r="L145" s="117"/>
      <c r="M145" s="117"/>
      <c r="N145" s="117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</row>
    <row r="146" spans="1:174" ht="15.6">
      <c r="A146" s="174"/>
      <c r="B146" s="117"/>
      <c r="C146" s="117"/>
      <c r="D146" s="117"/>
      <c r="E146" s="117"/>
      <c r="F146" s="117"/>
      <c r="G146" s="117"/>
      <c r="H146" s="117"/>
      <c r="I146" s="117"/>
      <c r="J146" s="116"/>
      <c r="K146" s="176"/>
      <c r="L146" s="116"/>
      <c r="M146" s="116"/>
      <c r="N146" s="116"/>
    </row>
    <row r="147" spans="1:174" ht="15.6">
      <c r="A147" s="174"/>
      <c r="B147" s="117"/>
      <c r="C147" s="117"/>
      <c r="D147" s="117"/>
      <c r="E147" s="117"/>
      <c r="F147" s="117"/>
      <c r="G147" s="117"/>
      <c r="H147" s="117"/>
      <c r="I147" s="117"/>
      <c r="J147" s="116"/>
      <c r="K147" s="176"/>
      <c r="L147" s="116"/>
      <c r="M147" s="116"/>
      <c r="N147" s="116"/>
    </row>
    <row r="148" spans="1:174" ht="15.6">
      <c r="A148" s="174"/>
      <c r="B148" s="117"/>
      <c r="C148" s="117"/>
      <c r="D148" s="117"/>
      <c r="E148" s="117"/>
      <c r="F148" s="117"/>
      <c r="G148" s="117"/>
      <c r="H148" s="117"/>
      <c r="I148" s="117"/>
      <c r="J148" s="116"/>
      <c r="K148" s="176"/>
      <c r="L148" s="116"/>
      <c r="M148" s="116"/>
      <c r="N148" s="116"/>
    </row>
    <row r="149" spans="1:174" ht="15.6">
      <c r="A149" s="174"/>
      <c r="B149" s="117"/>
      <c r="C149" s="117"/>
      <c r="D149" s="117"/>
      <c r="E149" s="117"/>
      <c r="F149" s="117"/>
      <c r="G149" s="117"/>
      <c r="H149" s="117"/>
      <c r="I149" s="117"/>
      <c r="J149" s="116"/>
      <c r="K149" s="176"/>
      <c r="L149" s="118"/>
      <c r="M149" s="116"/>
      <c r="N149" s="116"/>
    </row>
    <row r="150" spans="1:174" ht="15" customHeight="1">
      <c r="A150" s="174"/>
      <c r="B150" s="184"/>
      <c r="C150" s="184"/>
      <c r="D150" s="184"/>
      <c r="E150" s="184"/>
      <c r="F150" s="184"/>
      <c r="G150" s="184"/>
      <c r="H150" s="184"/>
      <c r="I150" s="184"/>
      <c r="J150" s="116"/>
      <c r="K150" s="176"/>
      <c r="L150" s="116"/>
      <c r="M150" s="116"/>
      <c r="N150" s="116"/>
    </row>
    <row r="151" spans="1:174" ht="15" customHeight="1">
      <c r="A151" s="174"/>
      <c r="B151" s="245" t="s">
        <v>117</v>
      </c>
      <c r="C151" s="245"/>
      <c r="D151" s="245"/>
      <c r="E151" s="245"/>
      <c r="F151" s="245"/>
      <c r="G151" s="245"/>
      <c r="H151" s="245"/>
      <c r="I151" s="245"/>
      <c r="J151" s="116"/>
      <c r="K151" s="176"/>
      <c r="L151" s="116"/>
      <c r="M151" s="116"/>
      <c r="N151" s="116"/>
    </row>
    <row r="152" spans="1:174" ht="15" customHeight="1">
      <c r="A152" s="174"/>
      <c r="B152" s="244" t="s">
        <v>118</v>
      </c>
      <c r="C152" s="244"/>
      <c r="D152" s="244"/>
      <c r="E152" s="244"/>
      <c r="F152" s="244"/>
      <c r="G152" s="244"/>
      <c r="H152" s="244"/>
      <c r="I152" s="244"/>
      <c r="J152" s="116"/>
      <c r="K152" s="176"/>
      <c r="L152" s="116"/>
      <c r="M152" s="116"/>
      <c r="N152" s="116"/>
    </row>
    <row r="153" spans="1:174" ht="15.6">
      <c r="A153" s="174"/>
      <c r="B153" s="244" t="s">
        <v>119</v>
      </c>
      <c r="C153" s="244"/>
      <c r="D153" s="244"/>
      <c r="E153" s="244"/>
      <c r="F153" s="244"/>
      <c r="G153" s="244"/>
      <c r="H153" s="244"/>
      <c r="I153" s="244"/>
      <c r="J153" s="116"/>
      <c r="K153" s="176"/>
      <c r="L153" s="116"/>
      <c r="M153" s="116"/>
      <c r="N153" s="116"/>
    </row>
    <row r="154" spans="1:174" ht="14.45">
      <c r="A154" s="116"/>
      <c r="B154" s="138"/>
      <c r="C154" s="138"/>
      <c r="D154" s="138"/>
      <c r="E154" s="138"/>
      <c r="F154" s="138"/>
      <c r="G154" s="138"/>
      <c r="H154" s="138"/>
      <c r="I154" s="138"/>
      <c r="J154" s="138"/>
      <c r="K154" s="116"/>
      <c r="L154" s="116"/>
      <c r="M154" s="116"/>
      <c r="N154" s="116"/>
    </row>
  </sheetData>
  <mergeCells count="8">
    <mergeCell ref="B1:N1"/>
    <mergeCell ref="B153:I153"/>
    <mergeCell ref="B151:I151"/>
    <mergeCell ref="B152:I152"/>
    <mergeCell ref="A2:N2"/>
    <mergeCell ref="A3:N3"/>
    <mergeCell ref="B41:B61"/>
    <mergeCell ref="B65:B73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70"/>
  <sheetViews>
    <sheetView topLeftCell="A150" zoomScale="70" zoomScaleNormal="70" workbookViewId="0">
      <pane xSplit="1" topLeftCell="B55" activePane="topRight" state="frozen"/>
      <selection pane="topRight" activeCell="A67" sqref="A67"/>
    </sheetView>
  </sheetViews>
  <sheetFormatPr defaultColWidth="9.140625" defaultRowHeight="14.1"/>
  <cols>
    <col min="1" max="1" width="50.42578125" style="56" customWidth="1"/>
    <col min="2" max="2" width="8.7109375" style="56" customWidth="1"/>
    <col min="3" max="3" width="9.85546875" style="56" customWidth="1"/>
    <col min="4" max="4" width="8.7109375" style="56" customWidth="1"/>
    <col min="5" max="5" width="9.85546875" style="56" customWidth="1"/>
    <col min="6" max="6" width="8.7109375" style="56" customWidth="1"/>
    <col min="7" max="7" width="9.85546875" style="56" customWidth="1"/>
    <col min="8" max="8" width="8.7109375" style="56" customWidth="1"/>
    <col min="9" max="9" width="9.85546875" style="56" customWidth="1"/>
    <col min="10" max="10" width="8.7109375" style="56" customWidth="1"/>
    <col min="11" max="11" width="10.28515625" style="56" customWidth="1"/>
    <col min="12" max="12" width="8.7109375" style="56" customWidth="1"/>
    <col min="13" max="13" width="9.7109375" style="56" customWidth="1"/>
    <col min="14" max="14" width="8.7109375" style="56" customWidth="1"/>
    <col min="15" max="15" width="10.140625" style="56" customWidth="1"/>
    <col min="16" max="16" width="8.7109375" style="56" customWidth="1"/>
    <col min="17" max="17" width="10.140625" style="56" customWidth="1"/>
    <col min="18" max="18" width="8.7109375" style="56" customWidth="1"/>
    <col min="19" max="19" width="10.140625" style="56" customWidth="1"/>
    <col min="20" max="20" width="8.7109375" style="56" customWidth="1"/>
    <col min="21" max="21" width="9.85546875" style="56" customWidth="1"/>
    <col min="22" max="22" width="8.7109375" style="56" customWidth="1"/>
    <col min="23" max="23" width="10.42578125" style="56" customWidth="1"/>
    <col min="24" max="24" width="8.7109375" style="56" customWidth="1"/>
    <col min="25" max="25" width="9.7109375" style="56" customWidth="1"/>
    <col min="26" max="16384" width="9.140625" style="56"/>
  </cols>
  <sheetData>
    <row r="1" spans="1:25" ht="84" customHeight="1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</row>
    <row r="2" spans="1:25" ht="18.75" customHeight="1">
      <c r="A2" s="296" t="s">
        <v>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</row>
    <row r="3" spans="1:25" ht="21" customHeight="1">
      <c r="A3" s="295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</row>
    <row r="4" spans="1:25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</row>
    <row r="5" spans="1:25" ht="18.75" customHeight="1">
      <c r="A5" s="271" t="s">
        <v>121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</row>
    <row r="6" spans="1:25" ht="24" customHeight="1">
      <c r="A6" s="79" t="s">
        <v>122</v>
      </c>
      <c r="B6" s="261" t="s">
        <v>4</v>
      </c>
      <c r="C6" s="261"/>
      <c r="D6" s="261" t="s">
        <v>5</v>
      </c>
      <c r="E6" s="261"/>
      <c r="F6" s="261" t="s">
        <v>6</v>
      </c>
      <c r="G6" s="261"/>
      <c r="H6" s="261" t="s">
        <v>7</v>
      </c>
      <c r="I6" s="261"/>
      <c r="J6" s="261" t="s">
        <v>8</v>
      </c>
      <c r="K6" s="261"/>
      <c r="L6" s="261" t="s">
        <v>9</v>
      </c>
      <c r="M6" s="261"/>
      <c r="N6" s="261" t="s">
        <v>10</v>
      </c>
      <c r="O6" s="261"/>
      <c r="P6" s="261" t="s">
        <v>11</v>
      </c>
      <c r="Q6" s="261"/>
      <c r="R6" s="261" t="s">
        <v>12</v>
      </c>
      <c r="S6" s="261"/>
      <c r="T6" s="261" t="s">
        <v>13</v>
      </c>
      <c r="U6" s="261"/>
      <c r="V6" s="261" t="s">
        <v>14</v>
      </c>
      <c r="W6" s="261"/>
      <c r="X6" s="261" t="s">
        <v>15</v>
      </c>
      <c r="Y6" s="261"/>
    </row>
    <row r="7" spans="1:25" ht="15.6" customHeight="1">
      <c r="A7" s="67" t="s">
        <v>123</v>
      </c>
      <c r="B7" s="293">
        <v>0.95699999999999996</v>
      </c>
      <c r="C7" s="293"/>
      <c r="D7" s="293">
        <v>0.98050000000000004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5" ht="15.6" customHeight="1">
      <c r="A8" s="67" t="s">
        <v>124</v>
      </c>
      <c r="B8" s="293">
        <v>0.97160000000000002</v>
      </c>
      <c r="C8" s="293"/>
      <c r="D8" s="293">
        <v>0.97699999999999998</v>
      </c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</row>
    <row r="9" spans="1:25" ht="15.6" customHeight="1">
      <c r="A9" s="67" t="s">
        <v>125</v>
      </c>
      <c r="B9" s="293">
        <v>0.94199999999999995</v>
      </c>
      <c r="C9" s="293"/>
      <c r="D9" s="293">
        <v>0.97850000000000004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</row>
    <row r="10" spans="1:25" ht="15.6" customHeight="1">
      <c r="A10" s="67" t="s">
        <v>126</v>
      </c>
      <c r="B10" s="293">
        <v>1</v>
      </c>
      <c r="C10" s="293"/>
      <c r="D10" s="302">
        <v>1</v>
      </c>
      <c r="E10" s="30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</row>
    <row r="11" spans="1:25" ht="15.6" customHeight="1">
      <c r="A11" s="67" t="s">
        <v>127</v>
      </c>
      <c r="B11" s="293">
        <v>1</v>
      </c>
      <c r="C11" s="293"/>
      <c r="D11" s="302">
        <v>1</v>
      </c>
      <c r="E11" s="30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</row>
    <row r="12" spans="1:25" ht="15.6" customHeight="1">
      <c r="A12" s="67" t="s">
        <v>128</v>
      </c>
      <c r="B12" s="293">
        <v>0.82250000000000001</v>
      </c>
      <c r="C12" s="293"/>
      <c r="D12" s="293">
        <v>0.81840000000000002</v>
      </c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</row>
    <row r="13" spans="1:25" ht="15.6" customHeight="1">
      <c r="A13" s="67" t="s">
        <v>129</v>
      </c>
      <c r="B13" s="293">
        <v>0.9758</v>
      </c>
      <c r="C13" s="293"/>
      <c r="D13" s="293">
        <v>0.97670000000000001</v>
      </c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</row>
    <row r="14" spans="1:25" ht="15.6" customHeight="1">
      <c r="A14" s="67" t="s">
        <v>130</v>
      </c>
      <c r="B14" s="293">
        <v>0.89370000000000005</v>
      </c>
      <c r="C14" s="293"/>
      <c r="D14" s="293">
        <v>0.92220000000000002</v>
      </c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</row>
    <row r="15" spans="1:25" ht="15.6" customHeight="1">
      <c r="A15" s="67" t="s">
        <v>131</v>
      </c>
      <c r="B15" s="293">
        <v>0.98370000000000002</v>
      </c>
      <c r="C15" s="293"/>
      <c r="D15" s="293">
        <v>0.97319999999999995</v>
      </c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</row>
    <row r="16" spans="1:25" ht="17.25" customHeight="1">
      <c r="A16" s="67" t="s">
        <v>132</v>
      </c>
      <c r="B16" s="293">
        <v>0.59860000000000002</v>
      </c>
      <c r="C16" s="293"/>
      <c r="D16" s="293">
        <v>0.4345</v>
      </c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</row>
    <row r="17" spans="1:25" ht="15.6" customHeight="1">
      <c r="A17" s="68" t="s">
        <v>133</v>
      </c>
      <c r="B17" s="294">
        <v>1.1507000000000001</v>
      </c>
      <c r="C17" s="294"/>
      <c r="D17" s="294">
        <f>'Indicadores de Desempenho'!E8</f>
        <v>1.2036061351129845</v>
      </c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</row>
    <row r="18" spans="1:25" ht="6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</row>
    <row r="19" spans="1:25" ht="15.6">
      <c r="A19" s="271" t="s">
        <v>134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</row>
    <row r="20" spans="1:25" ht="15.6">
      <c r="A20" s="79" t="s">
        <v>122</v>
      </c>
      <c r="B20" s="261" t="s">
        <v>4</v>
      </c>
      <c r="C20" s="261"/>
      <c r="D20" s="261" t="s">
        <v>5</v>
      </c>
      <c r="E20" s="261"/>
      <c r="F20" s="261" t="s">
        <v>6</v>
      </c>
      <c r="G20" s="261"/>
      <c r="H20" s="261" t="s">
        <v>7</v>
      </c>
      <c r="I20" s="261"/>
      <c r="J20" s="261" t="s">
        <v>8</v>
      </c>
      <c r="K20" s="261"/>
      <c r="L20" s="261" t="s">
        <v>9</v>
      </c>
      <c r="M20" s="261"/>
      <c r="N20" s="261" t="s">
        <v>10</v>
      </c>
      <c r="O20" s="261"/>
      <c r="P20" s="261" t="s">
        <v>11</v>
      </c>
      <c r="Q20" s="261"/>
      <c r="R20" s="261" t="s">
        <v>12</v>
      </c>
      <c r="S20" s="261"/>
      <c r="T20" s="261" t="s">
        <v>13</v>
      </c>
      <c r="U20" s="261"/>
      <c r="V20" s="261" t="s">
        <v>14</v>
      </c>
      <c r="W20" s="261"/>
      <c r="X20" s="261" t="s">
        <v>15</v>
      </c>
      <c r="Y20" s="261"/>
    </row>
    <row r="21" spans="1:25" ht="15.6" customHeight="1">
      <c r="A21" s="69" t="s">
        <v>123</v>
      </c>
      <c r="B21" s="268">
        <v>6.29</v>
      </c>
      <c r="C21" s="268"/>
      <c r="D21" s="268">
        <v>7.63</v>
      </c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</row>
    <row r="22" spans="1:25" ht="15.6" customHeight="1">
      <c r="A22" s="69" t="s">
        <v>124</v>
      </c>
      <c r="B22" s="268">
        <v>7.87</v>
      </c>
      <c r="C22" s="268"/>
      <c r="D22" s="268">
        <v>9.08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</row>
    <row r="23" spans="1:25" ht="15.6" customHeight="1">
      <c r="A23" s="69" t="s">
        <v>125</v>
      </c>
      <c r="B23" s="268">
        <v>7.68</v>
      </c>
      <c r="C23" s="268"/>
      <c r="D23" s="268">
        <v>9.15</v>
      </c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</row>
    <row r="24" spans="1:25" ht="15.6" customHeight="1">
      <c r="A24" s="69" t="s">
        <v>126</v>
      </c>
      <c r="B24" s="268">
        <v>9.23</v>
      </c>
      <c r="C24" s="268"/>
      <c r="D24" s="268">
        <v>9.11</v>
      </c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</row>
    <row r="25" spans="1:25" ht="15.6" customHeight="1">
      <c r="A25" s="69" t="s">
        <v>127</v>
      </c>
      <c r="B25" s="268">
        <v>7.22</v>
      </c>
      <c r="C25" s="268"/>
      <c r="D25" s="268">
        <v>6.77</v>
      </c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</row>
    <row r="26" spans="1:25" ht="15.6" customHeight="1">
      <c r="A26" s="69" t="s">
        <v>128</v>
      </c>
      <c r="B26" s="268">
        <v>10.199999999999999</v>
      </c>
      <c r="C26" s="268"/>
      <c r="D26" s="268">
        <v>9.82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</row>
    <row r="27" spans="1:25" ht="15.6" customHeight="1">
      <c r="A27" s="69" t="s">
        <v>129</v>
      </c>
      <c r="B27" s="268">
        <v>9.3000000000000007</v>
      </c>
      <c r="C27" s="268"/>
      <c r="D27" s="268">
        <v>8.2799999999999994</v>
      </c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</row>
    <row r="28" spans="1:25" ht="15.6" customHeight="1">
      <c r="A28" s="69" t="s">
        <v>130</v>
      </c>
      <c r="B28" s="268">
        <v>6.82</v>
      </c>
      <c r="C28" s="268"/>
      <c r="D28" s="268">
        <v>9.75</v>
      </c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</row>
    <row r="29" spans="1:25" ht="15.6" customHeight="1">
      <c r="A29" s="69" t="s">
        <v>131</v>
      </c>
      <c r="B29" s="268">
        <v>6.91</v>
      </c>
      <c r="C29" s="268"/>
      <c r="D29" s="268">
        <v>7.78</v>
      </c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</row>
    <row r="30" spans="1:25" ht="15.6" customHeight="1">
      <c r="A30" s="69" t="s">
        <v>132</v>
      </c>
      <c r="B30" s="268">
        <v>8</v>
      </c>
      <c r="C30" s="268"/>
      <c r="D30" s="268">
        <v>12.16</v>
      </c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</row>
    <row r="31" spans="1:25" ht="15.6" customHeight="1">
      <c r="A31" s="70" t="s">
        <v>135</v>
      </c>
      <c r="B31" s="275">
        <v>8.5299999999999994</v>
      </c>
      <c r="C31" s="275"/>
      <c r="D31" s="275">
        <v>9.2100000000000009</v>
      </c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</row>
    <row r="32" spans="1:25">
      <c r="A32" s="263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5"/>
    </row>
    <row r="33" spans="1:25" ht="15.6">
      <c r="A33" s="276" t="s">
        <v>136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</row>
    <row r="34" spans="1:25" ht="15.6">
      <c r="A34" s="79" t="s">
        <v>122</v>
      </c>
      <c r="B34" s="261" t="s">
        <v>4</v>
      </c>
      <c r="C34" s="261"/>
      <c r="D34" s="261" t="s">
        <v>5</v>
      </c>
      <c r="E34" s="261"/>
      <c r="F34" s="261" t="s">
        <v>6</v>
      </c>
      <c r="G34" s="261"/>
      <c r="H34" s="261" t="s">
        <v>7</v>
      </c>
      <c r="I34" s="261"/>
      <c r="J34" s="261" t="s">
        <v>8</v>
      </c>
      <c r="K34" s="261"/>
      <c r="L34" s="261" t="s">
        <v>9</v>
      </c>
      <c r="M34" s="261"/>
      <c r="N34" s="261" t="s">
        <v>10</v>
      </c>
      <c r="O34" s="261"/>
      <c r="P34" s="261" t="s">
        <v>11</v>
      </c>
      <c r="Q34" s="261"/>
      <c r="R34" s="261" t="s">
        <v>12</v>
      </c>
      <c r="S34" s="261"/>
      <c r="T34" s="261" t="s">
        <v>13</v>
      </c>
      <c r="U34" s="261"/>
      <c r="V34" s="261" t="s">
        <v>14</v>
      </c>
      <c r="W34" s="261"/>
      <c r="X34" s="261" t="s">
        <v>15</v>
      </c>
      <c r="Y34" s="261"/>
    </row>
    <row r="35" spans="1:25" ht="15.6" customHeight="1">
      <c r="A35" s="67" t="s">
        <v>123</v>
      </c>
      <c r="B35" s="268">
        <v>0.28000000000000003</v>
      </c>
      <c r="C35" s="268"/>
      <c r="D35" s="268">
        <v>0.15</v>
      </c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</row>
    <row r="36" spans="1:25" ht="15.6" customHeight="1">
      <c r="A36" s="67" t="s">
        <v>124</v>
      </c>
      <c r="B36" s="268">
        <v>0.23</v>
      </c>
      <c r="C36" s="268"/>
      <c r="D36" s="268">
        <v>0.21</v>
      </c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</row>
    <row r="37" spans="1:25" ht="15.6" customHeight="1">
      <c r="A37" s="67" t="s">
        <v>125</v>
      </c>
      <c r="B37" s="268">
        <v>0.47</v>
      </c>
      <c r="C37" s="268"/>
      <c r="D37" s="268">
        <v>0.2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</row>
    <row r="38" spans="1:25" ht="15.6" customHeight="1">
      <c r="A38" s="67" t="s">
        <v>126</v>
      </c>
      <c r="B38" s="268">
        <v>0</v>
      </c>
      <c r="C38" s="268"/>
      <c r="D38" s="268">
        <v>0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</row>
    <row r="39" spans="1:25" ht="15.6" customHeight="1">
      <c r="A39" s="67" t="s">
        <v>127</v>
      </c>
      <c r="B39" s="268">
        <v>0</v>
      </c>
      <c r="C39" s="268"/>
      <c r="D39" s="268">
        <v>0</v>
      </c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</row>
    <row r="40" spans="1:25" ht="15.6" customHeight="1">
      <c r="A40" s="67" t="s">
        <v>128</v>
      </c>
      <c r="B40" s="268">
        <v>2.2000000000000002</v>
      </c>
      <c r="C40" s="268"/>
      <c r="D40" s="268">
        <v>2.17</v>
      </c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</row>
    <row r="41" spans="1:25" ht="15.6" customHeight="1">
      <c r="A41" s="67" t="s">
        <v>129</v>
      </c>
      <c r="B41" s="268">
        <v>0.23</v>
      </c>
      <c r="C41" s="268"/>
      <c r="D41" s="268">
        <v>0.19</v>
      </c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</row>
    <row r="42" spans="1:25" ht="15.6" customHeight="1">
      <c r="A42" s="67" t="s">
        <v>130</v>
      </c>
      <c r="B42" s="268">
        <v>0.81</v>
      </c>
      <c r="C42" s="268"/>
      <c r="D42" s="268">
        <v>0.82</v>
      </c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</row>
    <row r="43" spans="1:25" ht="15.6" customHeight="1">
      <c r="A43" s="67" t="s">
        <v>131</v>
      </c>
      <c r="B43" s="268">
        <v>0.11</v>
      </c>
      <c r="C43" s="268"/>
      <c r="D43" s="268">
        <v>0.21</v>
      </c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5" ht="15.6" customHeight="1">
      <c r="A44" s="67" t="s">
        <v>132</v>
      </c>
      <c r="B44" s="268">
        <v>5.36</v>
      </c>
      <c r="C44" s="268"/>
      <c r="D44" s="268">
        <v>15.83</v>
      </c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</row>
    <row r="45" spans="1:25" ht="15.6" customHeight="1">
      <c r="A45" s="67" t="s">
        <v>137</v>
      </c>
      <c r="B45" s="275">
        <v>12.006999558743718</v>
      </c>
      <c r="C45" s="275"/>
      <c r="D45" s="275">
        <f>'Indicadores de Desempenho'!E14</f>
        <v>7.3554697829241373</v>
      </c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</row>
    <row r="46" spans="1:25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</row>
    <row r="47" spans="1:25" ht="17.25" customHeight="1">
      <c r="A47" s="271" t="s">
        <v>138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</row>
    <row r="48" spans="1:25" ht="15.6">
      <c r="A48" s="79" t="s">
        <v>139</v>
      </c>
      <c r="B48" s="261" t="s">
        <v>4</v>
      </c>
      <c r="C48" s="261"/>
      <c r="D48" s="261" t="s">
        <v>5</v>
      </c>
      <c r="E48" s="261"/>
      <c r="F48" s="261" t="s">
        <v>6</v>
      </c>
      <c r="G48" s="261"/>
      <c r="H48" s="261" t="s">
        <v>7</v>
      </c>
      <c r="I48" s="261"/>
      <c r="J48" s="261" t="s">
        <v>8</v>
      </c>
      <c r="K48" s="261"/>
      <c r="L48" s="261" t="s">
        <v>9</v>
      </c>
      <c r="M48" s="261"/>
      <c r="N48" s="261" t="s">
        <v>10</v>
      </c>
      <c r="O48" s="261"/>
      <c r="P48" s="261" t="s">
        <v>11</v>
      </c>
      <c r="Q48" s="261"/>
      <c r="R48" s="261" t="s">
        <v>12</v>
      </c>
      <c r="S48" s="261"/>
      <c r="T48" s="261" t="s">
        <v>13</v>
      </c>
      <c r="U48" s="261"/>
      <c r="V48" s="261" t="s">
        <v>14</v>
      </c>
      <c r="W48" s="261"/>
      <c r="X48" s="261" t="s">
        <v>15</v>
      </c>
      <c r="Y48" s="261"/>
    </row>
    <row r="49" spans="1:25" ht="20.25" customHeight="1">
      <c r="A49" s="66" t="s">
        <v>140</v>
      </c>
      <c r="B49" s="278">
        <f>IF(('Produção 2026'!C8=0)," ",'Produção 2026'!C8)</f>
        <v>1273</v>
      </c>
      <c r="C49" s="278"/>
      <c r="D49" s="278">
        <f>'Produção 2026'!D8</f>
        <v>1116</v>
      </c>
      <c r="E49" s="278"/>
      <c r="F49" s="278" t="str">
        <f>IF(('Produção 2026'!G8=0)," ",'Produção 2026'!G8)</f>
        <v xml:space="preserve"> </v>
      </c>
      <c r="G49" s="278"/>
      <c r="H49" s="278" t="str">
        <f>IF(('Produção 2026'!I8=0)," ",'Produção 2026'!I8)</f>
        <v xml:space="preserve"> </v>
      </c>
      <c r="I49" s="278"/>
      <c r="J49" s="278" t="str">
        <f>IF(('Produção 2026'!K8=0)," ",'Produção 2026'!K8)</f>
        <v xml:space="preserve"> </v>
      </c>
      <c r="K49" s="278"/>
      <c r="L49" s="278" t="str">
        <f>IF(('Produção 2026'!M8=0)," ",'Produção 2026'!M8)</f>
        <v xml:space="preserve"> </v>
      </c>
      <c r="M49" s="278"/>
      <c r="N49" s="278" t="str">
        <f>IF(('Produção 2026'!O8=0)," ",'Produção 2026'!O8)</f>
        <v xml:space="preserve"> </v>
      </c>
      <c r="O49" s="278"/>
      <c r="P49" s="278" t="str">
        <f>IF(('Produção 2026'!Q8=0)," ",'Produção 2026'!Q8)</f>
        <v xml:space="preserve"> </v>
      </c>
      <c r="Q49" s="278"/>
      <c r="R49" s="278" t="str">
        <f>IF(('Produção 2026'!S8=0)," ",'Produção 2026'!S8)</f>
        <v xml:space="preserve"> </v>
      </c>
      <c r="S49" s="278"/>
      <c r="T49" s="278" t="str">
        <f>IF(('Produção 2026'!U8=0)," ",'Produção 2026'!U8)</f>
        <v xml:space="preserve"> </v>
      </c>
      <c r="U49" s="278"/>
      <c r="V49" s="278" t="str">
        <f>IF(('Produção 2026'!W8=0)," ",'Produção 2026'!W8)</f>
        <v xml:space="preserve"> </v>
      </c>
      <c r="W49" s="278"/>
      <c r="X49" s="278" t="str">
        <f>IF(('Produção 2026'!Y8=0)," ",'Produção 2026'!Y8)</f>
        <v xml:space="preserve"> </v>
      </c>
      <c r="Y49" s="278"/>
    </row>
    <row r="50" spans="1:25" ht="17.25" customHeight="1">
      <c r="A50" s="66" t="s">
        <v>141</v>
      </c>
      <c r="B50" s="278">
        <v>117</v>
      </c>
      <c r="C50" s="278"/>
      <c r="D50" s="278">
        <v>91</v>
      </c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</row>
    <row r="51" spans="1:25" ht="21" customHeight="1">
      <c r="A51" s="66" t="s">
        <v>142</v>
      </c>
      <c r="B51" s="279">
        <f>IFERROR(B50/B49," ")</f>
        <v>9.1908876669285156E-2</v>
      </c>
      <c r="C51" s="279"/>
      <c r="D51" s="279">
        <f t="shared" ref="D51" si="0">IFERROR(D50/D49," ")</f>
        <v>8.1541218637992838E-2</v>
      </c>
      <c r="E51" s="279"/>
      <c r="F51" s="279" t="str">
        <f t="shared" ref="F51" si="1">IFERROR(F50/F49," ")</f>
        <v xml:space="preserve"> </v>
      </c>
      <c r="G51" s="279"/>
      <c r="H51" s="279" t="str">
        <f t="shared" ref="H51" si="2">IFERROR(H50/H49," ")</f>
        <v xml:space="preserve"> </v>
      </c>
      <c r="I51" s="279"/>
      <c r="J51" s="279" t="str">
        <f t="shared" ref="J51" si="3">IFERROR(J50/J49," ")</f>
        <v xml:space="preserve"> </v>
      </c>
      <c r="K51" s="279"/>
      <c r="L51" s="279" t="str">
        <f t="shared" ref="L51" si="4">IFERROR(L50/L49," ")</f>
        <v xml:space="preserve"> </v>
      </c>
      <c r="M51" s="279"/>
      <c r="N51" s="279" t="str">
        <f t="shared" ref="N51" si="5">IFERROR(N50/N49," ")</f>
        <v xml:space="preserve"> </v>
      </c>
      <c r="O51" s="279"/>
      <c r="P51" s="279" t="str">
        <f t="shared" ref="P51" si="6">IFERROR(P50/P49," ")</f>
        <v xml:space="preserve"> </v>
      </c>
      <c r="Q51" s="279"/>
      <c r="R51" s="279" t="str">
        <f t="shared" ref="R51" si="7">IFERROR(R50/R49," ")</f>
        <v xml:space="preserve"> </v>
      </c>
      <c r="S51" s="279"/>
      <c r="T51" s="279" t="str">
        <f t="shared" ref="T51" si="8">IFERROR(T50/T49," ")</f>
        <v xml:space="preserve"> </v>
      </c>
      <c r="U51" s="279"/>
      <c r="V51" s="279" t="str">
        <f t="shared" ref="V51" si="9">IFERROR(V50/V49," ")</f>
        <v xml:space="preserve"> </v>
      </c>
      <c r="W51" s="279"/>
      <c r="X51" s="279" t="str">
        <f t="shared" ref="X51" si="10">IFERROR(X50/X49," ")</f>
        <v xml:space="preserve"> </v>
      </c>
      <c r="Y51" s="279"/>
    </row>
    <row r="52" spans="1:25" ht="17.25" customHeight="1">
      <c r="A52" s="66" t="s">
        <v>143</v>
      </c>
      <c r="B52" s="278">
        <v>101</v>
      </c>
      <c r="C52" s="278"/>
      <c r="D52" s="278">
        <f>91-8</f>
        <v>83</v>
      </c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</row>
    <row r="53" spans="1:25" ht="18.75" customHeight="1">
      <c r="A53" s="67" t="s">
        <v>144</v>
      </c>
      <c r="B53" s="279">
        <f>IFERROR(B52/B49," ")</f>
        <v>7.9340141398271793E-2</v>
      </c>
      <c r="C53" s="279"/>
      <c r="D53" s="279">
        <f>IFERROR(D52/D49," ")</f>
        <v>7.4372759856630818E-2</v>
      </c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</row>
    <row r="54" spans="1:25" ht="27.75" customHeight="1">
      <c r="A54" s="67" t="s">
        <v>145</v>
      </c>
      <c r="B54" s="279">
        <f>IFERROR(17/(('Produção 2026'!C17)+('Produção 2026'!C16))," ")</f>
        <v>1.6361886429258902E-2</v>
      </c>
      <c r="C54" s="279"/>
      <c r="D54" s="279">
        <f>IFERROR(19/(('Produção 2026'!D17)+('Produção 2026'!D16))," ")</f>
        <v>2.092511013215859E-2</v>
      </c>
      <c r="E54" s="279"/>
      <c r="F54" s="279" t="str">
        <f>IFERROR(15/(('Produção 2026'!#REF!)+('Produção 2026'!#REF!))," ")</f>
        <v xml:space="preserve"> </v>
      </c>
      <c r="G54" s="279"/>
      <c r="H54" s="279" t="str">
        <f>IFERROR(15/(('Produção 2026'!#REF!)+('Produção 2026'!#REF!))," ")</f>
        <v xml:space="preserve"> </v>
      </c>
      <c r="I54" s="279"/>
      <c r="J54" s="279" t="str">
        <f>IFERROR(15/(('Produção 2026'!#REF!)+('Produção 2026'!#REF!))," ")</f>
        <v xml:space="preserve"> </v>
      </c>
      <c r="K54" s="279"/>
      <c r="L54" s="279" t="str">
        <f>IFERROR(15/(('Produção 2026'!B$17)+('Produção 2026'!B$16))," ")</f>
        <v xml:space="preserve"> </v>
      </c>
      <c r="M54" s="279"/>
      <c r="N54" s="279"/>
      <c r="O54" s="279"/>
      <c r="P54" s="279" t="str">
        <f>IFERROR(15/(('Produção 2026'!F$17)+('Produção 2026'!F$16))," ")</f>
        <v xml:space="preserve"> </v>
      </c>
      <c r="Q54" s="279"/>
      <c r="R54" s="279" t="str">
        <f>IFERROR(15/(('Produção 2026'!H$17)+('Produção 2026'!H$16))," ")</f>
        <v xml:space="preserve"> </v>
      </c>
      <c r="S54" s="279"/>
      <c r="T54" s="279" t="str">
        <f>IFERROR(15/(('Produção 2026'!J$17)+('Produção 2026'!J$16))," ")</f>
        <v xml:space="preserve"> </v>
      </c>
      <c r="U54" s="279"/>
      <c r="V54" s="279" t="str">
        <f>IFERROR(15/(('Produção 2026'!L$17)+('Produção 2026'!L$16))," ")</f>
        <v xml:space="preserve"> </v>
      </c>
      <c r="W54" s="279"/>
      <c r="X54" s="279" t="str">
        <f>IFERROR(15/(('Produção 2026'!N$17)+('Produção 2026'!N$16))," ")</f>
        <v xml:space="preserve"> </v>
      </c>
      <c r="Y54" s="279"/>
    </row>
    <row r="55" spans="1:25" ht="33.75" customHeight="1">
      <c r="A55" s="67" t="s">
        <v>146</v>
      </c>
      <c r="B55" s="292">
        <v>100.26</v>
      </c>
      <c r="C55" s="292"/>
      <c r="D55" s="292">
        <v>124.51</v>
      </c>
      <c r="E55" s="292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</row>
    <row r="56" spans="1:25" ht="30.95" customHeight="1">
      <c r="A56" s="67" t="s">
        <v>147</v>
      </c>
      <c r="B56" s="279">
        <v>0.28089999999999998</v>
      </c>
      <c r="C56" s="279"/>
      <c r="D56" s="279">
        <v>0.2389</v>
      </c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</row>
    <row r="57" spans="1:25" ht="19.5" customHeight="1">
      <c r="A57" s="67" t="s">
        <v>148</v>
      </c>
      <c r="B57" s="278">
        <v>375.03</v>
      </c>
      <c r="C57" s="278"/>
      <c r="D57" s="278">
        <v>391.17</v>
      </c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  <c r="X57" s="278"/>
      <c r="Y57" s="278"/>
    </row>
    <row r="58" spans="1:25" ht="19.5" customHeight="1">
      <c r="A58" s="67" t="s">
        <v>149</v>
      </c>
      <c r="B58" s="277">
        <f>IFERROR(('Produção 2026'!C17)/(('Produção 2026'!C17)+('Produção 2026'!C16)),"")</f>
        <v>0.37054860442733395</v>
      </c>
      <c r="C58" s="277"/>
      <c r="D58" s="277">
        <f>IFERROR(('Produção 2026'!D17)/(('Produção 2026'!D17)+('Produção 2026'!D16)),"")</f>
        <v>0.29074889867841408</v>
      </c>
      <c r="E58" s="277"/>
      <c r="F58" s="277" t="str">
        <f>IFERROR(('Produção 2026'!G17)/(('Produção 2026'!G17)+('Produção 2026'!G16)),"")</f>
        <v/>
      </c>
      <c r="G58" s="277"/>
      <c r="H58" s="277" t="str">
        <f>IFERROR(('Produção 2026'!I17)/(('Produção 2026'!I17)+('Produção 2026'!I16)),"")</f>
        <v/>
      </c>
      <c r="I58" s="277"/>
      <c r="J58" s="277" t="str">
        <f>IFERROR(('Produção 2026'!K17)/(('Produção 2026'!K17)+('Produção 2026'!K16)),"")</f>
        <v/>
      </c>
      <c r="K58" s="277"/>
      <c r="L58" s="277" t="str">
        <f>IFERROR(('Produção 2026'!M17)/(('Produção 2026'!M17)+('Produção 2026'!M16)),"")</f>
        <v/>
      </c>
      <c r="M58" s="277"/>
      <c r="N58" s="277" t="str">
        <f>IFERROR(('Produção 2026'!O17)/(('Produção 2026'!O17)+('Produção 2026'!O16)),"")</f>
        <v/>
      </c>
      <c r="O58" s="277"/>
      <c r="P58" s="277" t="str">
        <f>IFERROR(('Produção 2026'!Q17)/(('Produção 2026'!Q17)+('Produção 2026'!Q16)),"")</f>
        <v/>
      </c>
      <c r="Q58" s="277"/>
      <c r="R58" s="277" t="str">
        <f>IFERROR(('Produção 2026'!S17)/(('Produção 2026'!S17)+('Produção 2026'!S16)),"")</f>
        <v/>
      </c>
      <c r="S58" s="277"/>
      <c r="T58" s="277" t="str">
        <f>IFERROR(('Produção 2026'!U17)/(('Produção 2026'!U17)+('Produção 2026'!U16)),"")</f>
        <v/>
      </c>
      <c r="U58" s="277"/>
      <c r="V58" s="277" t="str">
        <f>IFERROR(('Produção 2026'!W17)/(('Produção 2026'!W17)+('Produção 2026'!W16)),"")</f>
        <v/>
      </c>
      <c r="W58" s="277"/>
      <c r="X58" s="277" t="str">
        <f>IFERROR(('Produção 2026'!Y17)/(('Produção 2026'!Y17)+('Produção 2026'!Y16)),"")</f>
        <v/>
      </c>
      <c r="Y58" s="277"/>
    </row>
    <row r="59" spans="1:25" ht="9.75" customHeight="1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</row>
    <row r="60" spans="1:25" ht="20.25" customHeight="1">
      <c r="A60" s="271" t="s">
        <v>150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</row>
    <row r="61" spans="1:25" ht="23.25" customHeight="1">
      <c r="A61" s="80" t="s">
        <v>139</v>
      </c>
      <c r="B61" s="274" t="s">
        <v>4</v>
      </c>
      <c r="C61" s="274"/>
      <c r="D61" s="274" t="s">
        <v>5</v>
      </c>
      <c r="E61" s="274"/>
      <c r="F61" s="274" t="s">
        <v>6</v>
      </c>
      <c r="G61" s="274"/>
      <c r="H61" s="274" t="s">
        <v>7</v>
      </c>
      <c r="I61" s="274"/>
      <c r="J61" s="274" t="s">
        <v>8</v>
      </c>
      <c r="K61" s="274"/>
      <c r="L61" s="274" t="s">
        <v>9</v>
      </c>
      <c r="M61" s="274"/>
      <c r="N61" s="274" t="s">
        <v>10</v>
      </c>
      <c r="O61" s="274"/>
      <c r="P61" s="274" t="s">
        <v>11</v>
      </c>
      <c r="Q61" s="274"/>
      <c r="R61" s="274" t="s">
        <v>12</v>
      </c>
      <c r="S61" s="274"/>
      <c r="T61" s="274" t="s">
        <v>13</v>
      </c>
      <c r="U61" s="274"/>
      <c r="V61" s="274" t="s">
        <v>14</v>
      </c>
      <c r="W61" s="274"/>
      <c r="X61" s="274" t="s">
        <v>15</v>
      </c>
      <c r="Y61" s="274"/>
    </row>
    <row r="62" spans="1:25" ht="15.6" customHeight="1">
      <c r="A62" s="68" t="s">
        <v>151</v>
      </c>
      <c r="B62" s="288">
        <f>B63+B64</f>
        <v>243</v>
      </c>
      <c r="C62" s="287"/>
      <c r="D62" s="288">
        <f>D63+D64</f>
        <v>249</v>
      </c>
      <c r="E62" s="287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</row>
    <row r="63" spans="1:25" ht="15.6" customHeight="1">
      <c r="A63" s="68" t="s">
        <v>152</v>
      </c>
      <c r="B63" s="284">
        <v>0</v>
      </c>
      <c r="C63" s="285"/>
      <c r="D63" s="284">
        <v>0</v>
      </c>
      <c r="E63" s="285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</row>
    <row r="64" spans="1:25" ht="15.6" customHeight="1">
      <c r="A64" s="68" t="s">
        <v>153</v>
      </c>
      <c r="B64" s="284">
        <v>243</v>
      </c>
      <c r="C64" s="285"/>
      <c r="D64" s="284">
        <v>249</v>
      </c>
      <c r="E64" s="285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</row>
    <row r="65" spans="1:25" ht="21.75" customHeight="1">
      <c r="A65" s="68" t="s">
        <v>154</v>
      </c>
      <c r="B65" s="288">
        <f>B66+B67</f>
        <v>689</v>
      </c>
      <c r="C65" s="287"/>
      <c r="D65" s="288">
        <f>D66+D67</f>
        <v>692</v>
      </c>
      <c r="E65" s="287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</row>
    <row r="66" spans="1:25" ht="21" customHeight="1">
      <c r="A66" s="68" t="s">
        <v>155</v>
      </c>
      <c r="B66" s="284">
        <v>86</v>
      </c>
      <c r="C66" s="285"/>
      <c r="D66" s="284">
        <v>85</v>
      </c>
      <c r="E66" s="285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</row>
    <row r="67" spans="1:25" ht="20.25" customHeight="1">
      <c r="A67" s="68" t="s">
        <v>156</v>
      </c>
      <c r="B67" s="284">
        <v>603</v>
      </c>
      <c r="C67" s="285"/>
      <c r="D67" s="284">
        <v>607</v>
      </c>
      <c r="E67" s="285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</row>
    <row r="68" spans="1:25" ht="15.6" customHeight="1">
      <c r="A68" s="68" t="s">
        <v>157</v>
      </c>
      <c r="B68" s="286">
        <f>B69+B70+B71</f>
        <v>860</v>
      </c>
      <c r="C68" s="287"/>
      <c r="D68" s="286">
        <f>D69+D70+D71</f>
        <v>853</v>
      </c>
      <c r="E68" s="287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</row>
    <row r="69" spans="1:25" ht="15.6" customHeight="1">
      <c r="A69" s="68" t="s">
        <v>158</v>
      </c>
      <c r="B69" s="290">
        <v>60</v>
      </c>
      <c r="C69" s="291"/>
      <c r="D69" s="290">
        <v>48</v>
      </c>
      <c r="E69" s="291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</row>
    <row r="70" spans="1:25" ht="15.6" customHeight="1">
      <c r="A70" s="68" t="s">
        <v>159</v>
      </c>
      <c r="B70" s="290">
        <v>0</v>
      </c>
      <c r="C70" s="291"/>
      <c r="D70" s="290">
        <v>0</v>
      </c>
      <c r="E70" s="291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</row>
    <row r="71" spans="1:25" ht="15.6" customHeight="1">
      <c r="A71" s="68" t="s">
        <v>160</v>
      </c>
      <c r="B71" s="290">
        <v>800</v>
      </c>
      <c r="C71" s="291"/>
      <c r="D71" s="290">
        <v>805</v>
      </c>
      <c r="E71" s="291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</row>
    <row r="72" spans="1:25" ht="15.6" customHeight="1">
      <c r="A72" s="68" t="s">
        <v>161</v>
      </c>
      <c r="B72" s="284">
        <v>782</v>
      </c>
      <c r="C72" s="285"/>
      <c r="D72" s="284">
        <v>789</v>
      </c>
      <c r="E72" s="285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</row>
    <row r="73" spans="1:25" ht="15.6" customHeight="1">
      <c r="A73" s="68" t="s">
        <v>162</v>
      </c>
      <c r="B73" s="288">
        <f>B74+B75</f>
        <v>20</v>
      </c>
      <c r="C73" s="287"/>
      <c r="D73" s="288">
        <f>D74+D75</f>
        <v>18</v>
      </c>
      <c r="E73" s="287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</row>
    <row r="74" spans="1:25" ht="15.6" customHeight="1">
      <c r="A74" s="68" t="s">
        <v>163</v>
      </c>
      <c r="B74" s="284">
        <v>0</v>
      </c>
      <c r="C74" s="285"/>
      <c r="D74" s="284">
        <v>0</v>
      </c>
      <c r="E74" s="285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</row>
    <row r="75" spans="1:25" ht="15.6" customHeight="1">
      <c r="A75" s="68" t="s">
        <v>164</v>
      </c>
      <c r="B75" s="284">
        <v>20</v>
      </c>
      <c r="C75" s="285"/>
      <c r="D75" s="284">
        <v>18</v>
      </c>
      <c r="E75" s="285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</row>
    <row r="76" spans="1:25" ht="15.6" customHeight="1">
      <c r="A76" s="68" t="s">
        <v>165</v>
      </c>
      <c r="B76" s="288">
        <f>B77+B78</f>
        <v>130</v>
      </c>
      <c r="C76" s="287"/>
      <c r="D76" s="288">
        <f>D77+D78</f>
        <v>123</v>
      </c>
      <c r="E76" s="287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</row>
    <row r="77" spans="1:25" ht="15.6" customHeight="1">
      <c r="A77" s="68" t="s">
        <v>166</v>
      </c>
      <c r="B77" s="284">
        <v>0</v>
      </c>
      <c r="C77" s="285"/>
      <c r="D77" s="284">
        <v>0</v>
      </c>
      <c r="E77" s="285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</row>
    <row r="78" spans="1:25" ht="15.6" customHeight="1">
      <c r="A78" s="68" t="s">
        <v>167</v>
      </c>
      <c r="B78" s="284">
        <v>130</v>
      </c>
      <c r="C78" s="285"/>
      <c r="D78" s="284">
        <v>123</v>
      </c>
      <c r="E78" s="285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</row>
    <row r="79" spans="1:25" ht="15.6" customHeight="1">
      <c r="A79" s="68" t="s">
        <v>168</v>
      </c>
      <c r="B79" s="288">
        <f>B80+B81</f>
        <v>13</v>
      </c>
      <c r="C79" s="287"/>
      <c r="D79" s="288">
        <f>D80+D81</f>
        <v>10</v>
      </c>
      <c r="E79" s="287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</row>
    <row r="80" spans="1:25" ht="15.6" customHeight="1">
      <c r="A80" s="68" t="s">
        <v>169</v>
      </c>
      <c r="B80" s="284">
        <v>0</v>
      </c>
      <c r="C80" s="285"/>
      <c r="D80" s="284">
        <v>0</v>
      </c>
      <c r="E80" s="285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</row>
    <row r="81" spans="1:25" ht="15.6" customHeight="1">
      <c r="A81" s="68" t="s">
        <v>170</v>
      </c>
      <c r="B81" s="284">
        <v>13</v>
      </c>
      <c r="C81" s="285"/>
      <c r="D81" s="284">
        <v>10</v>
      </c>
      <c r="E81" s="285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</row>
    <row r="82" spans="1:25" ht="15.6" customHeight="1">
      <c r="A82" s="68" t="s">
        <v>171</v>
      </c>
      <c r="B82" s="288">
        <f>B83+B84</f>
        <v>19</v>
      </c>
      <c r="C82" s="287"/>
      <c r="D82" s="288">
        <f>D83+D84</f>
        <v>20</v>
      </c>
      <c r="E82" s="287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</row>
    <row r="83" spans="1:25" ht="15.6" customHeight="1">
      <c r="A83" s="68" t="s">
        <v>172</v>
      </c>
      <c r="B83" s="284">
        <v>0</v>
      </c>
      <c r="C83" s="285"/>
      <c r="D83" s="284">
        <v>0</v>
      </c>
      <c r="E83" s="285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</row>
    <row r="84" spans="1:25" ht="15.6" customHeight="1">
      <c r="A84" s="68" t="s">
        <v>173</v>
      </c>
      <c r="B84" s="284">
        <v>19</v>
      </c>
      <c r="C84" s="285"/>
      <c r="D84" s="284">
        <v>20</v>
      </c>
      <c r="E84" s="285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</row>
    <row r="85" spans="1:25" ht="15.6" customHeight="1">
      <c r="A85" s="68" t="s">
        <v>174</v>
      </c>
      <c r="B85" s="288">
        <f>B86+B87</f>
        <v>14</v>
      </c>
      <c r="C85" s="287"/>
      <c r="D85" s="288">
        <f>D86+D87</f>
        <v>14</v>
      </c>
      <c r="E85" s="287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</row>
    <row r="86" spans="1:25" ht="15.6" customHeight="1">
      <c r="A86" s="68" t="s">
        <v>175</v>
      </c>
      <c r="B86" s="284">
        <v>0</v>
      </c>
      <c r="C86" s="285"/>
      <c r="D86" s="284">
        <v>0</v>
      </c>
      <c r="E86" s="285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</row>
    <row r="87" spans="1:25" ht="15.6" customHeight="1">
      <c r="A87" s="68" t="s">
        <v>176</v>
      </c>
      <c r="B87" s="284">
        <v>14</v>
      </c>
      <c r="C87" s="285"/>
      <c r="D87" s="284">
        <v>14</v>
      </c>
      <c r="E87" s="285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</row>
    <row r="88" spans="1:25" ht="15.6" customHeight="1">
      <c r="A88" s="68" t="s">
        <v>177</v>
      </c>
      <c r="B88" s="288">
        <f>B89+B90</f>
        <v>24</v>
      </c>
      <c r="C88" s="287"/>
      <c r="D88" s="288">
        <f>D89+D90</f>
        <v>24</v>
      </c>
      <c r="E88" s="287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</row>
    <row r="89" spans="1:25" ht="15.6" customHeight="1">
      <c r="A89" s="68" t="s">
        <v>178</v>
      </c>
      <c r="B89" s="284">
        <v>0</v>
      </c>
      <c r="C89" s="285"/>
      <c r="D89" s="284">
        <v>0</v>
      </c>
      <c r="E89" s="285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</row>
    <row r="90" spans="1:25" ht="15.6" customHeight="1">
      <c r="A90" s="68" t="s">
        <v>179</v>
      </c>
      <c r="B90" s="284">
        <v>24</v>
      </c>
      <c r="C90" s="285"/>
      <c r="D90" s="284">
        <v>24</v>
      </c>
      <c r="E90" s="285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</row>
    <row r="91" spans="1:25" ht="15.6" customHeight="1">
      <c r="A91" s="68" t="s">
        <v>180</v>
      </c>
      <c r="B91" s="288">
        <f>B92+B93</f>
        <v>4</v>
      </c>
      <c r="C91" s="287"/>
      <c r="D91" s="288">
        <f>D92+D93</f>
        <v>5</v>
      </c>
      <c r="E91" s="287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</row>
    <row r="92" spans="1:25" ht="15.6" customHeight="1">
      <c r="A92" s="68" t="s">
        <v>181</v>
      </c>
      <c r="B92" s="284">
        <v>1</v>
      </c>
      <c r="C92" s="285"/>
      <c r="D92" s="284">
        <v>1</v>
      </c>
      <c r="E92" s="285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</row>
    <row r="93" spans="1:25" ht="15.6" customHeight="1">
      <c r="A93" s="68" t="s">
        <v>182</v>
      </c>
      <c r="B93" s="284">
        <v>3</v>
      </c>
      <c r="C93" s="285"/>
      <c r="D93" s="284">
        <v>4</v>
      </c>
      <c r="E93" s="285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</row>
    <row r="94" spans="1:25" ht="15.6" customHeight="1">
      <c r="A94" s="68" t="s">
        <v>183</v>
      </c>
      <c r="B94" s="288">
        <f>B95+B96</f>
        <v>480</v>
      </c>
      <c r="C94" s="287"/>
      <c r="D94" s="288">
        <f>D95+D96</f>
        <v>487</v>
      </c>
      <c r="E94" s="287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</row>
    <row r="95" spans="1:25" ht="15.6" customHeight="1">
      <c r="A95" s="68" t="s">
        <v>184</v>
      </c>
      <c r="B95" s="284">
        <v>46</v>
      </c>
      <c r="C95" s="285"/>
      <c r="D95" s="284">
        <v>58</v>
      </c>
      <c r="E95" s="285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</row>
    <row r="96" spans="1:25" ht="15.6" customHeight="1">
      <c r="A96" s="68" t="s">
        <v>185</v>
      </c>
      <c r="B96" s="284">
        <v>434</v>
      </c>
      <c r="C96" s="285"/>
      <c r="D96" s="284">
        <v>429</v>
      </c>
      <c r="E96" s="285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</row>
    <row r="97" spans="1:25" ht="15.6" customHeight="1">
      <c r="A97" s="68" t="s">
        <v>186</v>
      </c>
      <c r="B97" s="286">
        <f>B94+B91+B88+B85+B82+B79+B76+B73+B68+B65+B62</f>
        <v>2496</v>
      </c>
      <c r="C97" s="287"/>
      <c r="D97" s="286">
        <f>D94+D91+D88+D85+D82+D79+D76+D73+D68+D65+D62</f>
        <v>2495</v>
      </c>
      <c r="E97" s="287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</row>
    <row r="98" spans="1:25" ht="15.6" customHeight="1">
      <c r="A98" s="68" t="s">
        <v>187</v>
      </c>
      <c r="B98" s="284">
        <v>342</v>
      </c>
      <c r="C98" s="285"/>
      <c r="D98" s="284">
        <v>342</v>
      </c>
      <c r="E98" s="285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72"/>
      <c r="U98" s="273"/>
      <c r="V98" s="272"/>
      <c r="W98" s="273"/>
      <c r="X98" s="269"/>
      <c r="Y98" s="269"/>
    </row>
    <row r="99" spans="1:25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</row>
    <row r="100" spans="1:25" ht="18.75" customHeight="1">
      <c r="A100" s="271" t="s">
        <v>188</v>
      </c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</row>
    <row r="101" spans="1:25" ht="19.5" customHeight="1">
      <c r="A101" s="79" t="s">
        <v>139</v>
      </c>
      <c r="B101" s="261" t="s">
        <v>4</v>
      </c>
      <c r="C101" s="261"/>
      <c r="D101" s="261" t="s">
        <v>5</v>
      </c>
      <c r="E101" s="261"/>
      <c r="F101" s="261" t="s">
        <v>6</v>
      </c>
      <c r="G101" s="261"/>
      <c r="H101" s="261" t="s">
        <v>7</v>
      </c>
      <c r="I101" s="261"/>
      <c r="J101" s="261" t="s">
        <v>8</v>
      </c>
      <c r="K101" s="261"/>
      <c r="L101" s="261" t="s">
        <v>9</v>
      </c>
      <c r="M101" s="261"/>
      <c r="N101" s="261" t="s">
        <v>10</v>
      </c>
      <c r="O101" s="261"/>
      <c r="P101" s="261" t="s">
        <v>11</v>
      </c>
      <c r="Q101" s="261"/>
      <c r="R101" s="261" t="s">
        <v>12</v>
      </c>
      <c r="S101" s="261"/>
      <c r="T101" s="261" t="s">
        <v>13</v>
      </c>
      <c r="U101" s="261"/>
      <c r="V101" s="261" t="s">
        <v>14</v>
      </c>
      <c r="W101" s="261"/>
      <c r="X101" s="261" t="s">
        <v>15</v>
      </c>
      <c r="Y101" s="261"/>
    </row>
    <row r="102" spans="1:25" ht="15.6" customHeight="1">
      <c r="A102" s="67" t="s">
        <v>189</v>
      </c>
      <c r="B102" s="268">
        <f>B62/B98</f>
        <v>0.71052631578947367</v>
      </c>
      <c r="C102" s="268"/>
      <c r="D102" s="268">
        <f>D62/D98</f>
        <v>0.72807017543859653</v>
      </c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</row>
    <row r="103" spans="1:25" ht="15.6">
      <c r="A103" s="67" t="s">
        <v>190</v>
      </c>
      <c r="B103" s="268">
        <f>B65/B98</f>
        <v>2.0146198830409356</v>
      </c>
      <c r="C103" s="268"/>
      <c r="D103" s="268">
        <f>D65/D98</f>
        <v>2.0233918128654973</v>
      </c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</row>
    <row r="104" spans="1:25" ht="15.6">
      <c r="A104" s="67" t="s">
        <v>191</v>
      </c>
      <c r="B104" s="268">
        <f>B97/B98</f>
        <v>7.2982456140350873</v>
      </c>
      <c r="C104" s="268"/>
      <c r="D104" s="268">
        <f>D97/D98</f>
        <v>7.295321637426901</v>
      </c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</row>
    <row r="105" spans="1:25" ht="15.6">
      <c r="A105" s="67" t="s">
        <v>192</v>
      </c>
      <c r="B105" s="268">
        <f>B72/B68</f>
        <v>0.90930232558139534</v>
      </c>
      <c r="C105" s="268"/>
      <c r="D105" s="268">
        <f>D72/D68</f>
        <v>0.92497069167643609</v>
      </c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</row>
    <row r="106" spans="1:25" ht="15.75" customHeight="1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</row>
    <row r="107" spans="1:25" ht="15.6">
      <c r="A107" s="271" t="s">
        <v>188</v>
      </c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</row>
    <row r="108" spans="1:25" ht="15.6">
      <c r="A108" s="79" t="s">
        <v>193</v>
      </c>
      <c r="B108" s="261" t="s">
        <v>4</v>
      </c>
      <c r="C108" s="261"/>
      <c r="D108" s="261" t="s">
        <v>5</v>
      </c>
      <c r="E108" s="261"/>
      <c r="F108" s="261" t="s">
        <v>6</v>
      </c>
      <c r="G108" s="261"/>
      <c r="H108" s="261" t="s">
        <v>7</v>
      </c>
      <c r="I108" s="261"/>
      <c r="J108" s="261" t="s">
        <v>8</v>
      </c>
      <c r="K108" s="261"/>
      <c r="L108" s="261" t="s">
        <v>9</v>
      </c>
      <c r="M108" s="261"/>
      <c r="N108" s="261" t="s">
        <v>10</v>
      </c>
      <c r="O108" s="261"/>
      <c r="P108" s="261" t="s">
        <v>11</v>
      </c>
      <c r="Q108" s="261"/>
      <c r="R108" s="261" t="s">
        <v>12</v>
      </c>
      <c r="S108" s="261"/>
      <c r="T108" s="261" t="s">
        <v>13</v>
      </c>
      <c r="U108" s="261"/>
      <c r="V108" s="261" t="s">
        <v>14</v>
      </c>
      <c r="W108" s="261"/>
      <c r="X108" s="261" t="s">
        <v>15</v>
      </c>
      <c r="Y108" s="261"/>
    </row>
    <row r="109" spans="1:25" ht="18" customHeight="1">
      <c r="A109" s="72" t="s">
        <v>194</v>
      </c>
      <c r="B109" s="280">
        <v>4.2000000000000003E-2</v>
      </c>
      <c r="C109" s="281"/>
      <c r="D109" s="280">
        <v>3.6999999999999998E-2</v>
      </c>
      <c r="E109" s="281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</row>
    <row r="110" spans="1:25" ht="17.25" customHeight="1">
      <c r="A110" s="72" t="s">
        <v>195</v>
      </c>
      <c r="B110" s="280">
        <v>2.7E-2</v>
      </c>
      <c r="C110" s="281"/>
      <c r="D110" s="280">
        <v>3.5999999999999997E-2</v>
      </c>
      <c r="E110" s="281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</row>
    <row r="111" spans="1:25" ht="17.25" customHeight="1">
      <c r="A111" s="72" t="s">
        <v>196</v>
      </c>
      <c r="B111" s="280">
        <v>0</v>
      </c>
      <c r="C111" s="281"/>
      <c r="D111" s="280">
        <v>0</v>
      </c>
      <c r="E111" s="281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</row>
    <row r="112" spans="1:25" ht="16.5" customHeight="1">
      <c r="A112" s="72" t="s">
        <v>197</v>
      </c>
      <c r="B112" s="280">
        <v>0</v>
      </c>
      <c r="C112" s="281"/>
      <c r="D112" s="280">
        <v>0</v>
      </c>
      <c r="E112" s="281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</row>
    <row r="113" spans="1:25" ht="17.25" customHeight="1">
      <c r="A113" s="72" t="s">
        <v>198</v>
      </c>
      <c r="B113" s="280">
        <v>0</v>
      </c>
      <c r="C113" s="281"/>
      <c r="D113" s="280">
        <v>5.6000000000000001E-2</v>
      </c>
      <c r="E113" s="281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</row>
    <row r="114" spans="1:25" ht="17.25" customHeight="1">
      <c r="A114" s="72" t="s">
        <v>199</v>
      </c>
      <c r="B114" s="280">
        <v>0</v>
      </c>
      <c r="C114" s="281"/>
      <c r="D114" s="280">
        <v>6.6000000000000003E-2</v>
      </c>
      <c r="E114" s="281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</row>
    <row r="115" spans="1:25" ht="18" customHeight="1">
      <c r="A115" s="72" t="s">
        <v>200</v>
      </c>
      <c r="B115" s="280">
        <v>0.66700000000000004</v>
      </c>
      <c r="C115" s="281"/>
      <c r="D115" s="280">
        <v>0</v>
      </c>
      <c r="E115" s="281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</row>
    <row r="116" spans="1:25" ht="18.75" customHeight="1">
      <c r="A116" s="72" t="s">
        <v>201</v>
      </c>
      <c r="B116" s="280">
        <v>0</v>
      </c>
      <c r="C116" s="281"/>
      <c r="D116" s="280">
        <v>0.375</v>
      </c>
      <c r="E116" s="281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</row>
    <row r="117" spans="1:25" ht="18" customHeight="1">
      <c r="A117" s="72" t="s">
        <v>202</v>
      </c>
      <c r="B117" s="280">
        <v>0</v>
      </c>
      <c r="C117" s="281"/>
      <c r="D117" s="280">
        <v>0</v>
      </c>
      <c r="E117" s="281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</row>
    <row r="118" spans="1:25" ht="18.75" customHeight="1">
      <c r="A118" s="72" t="s">
        <v>203</v>
      </c>
      <c r="B118" s="280">
        <v>0</v>
      </c>
      <c r="C118" s="281"/>
      <c r="D118" s="280">
        <v>0</v>
      </c>
      <c r="E118" s="281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</row>
    <row r="119" spans="1:25" ht="18" customHeight="1">
      <c r="A119" s="72" t="s">
        <v>204</v>
      </c>
      <c r="B119" s="280">
        <v>0.16700000000000001</v>
      </c>
      <c r="C119" s="281"/>
      <c r="D119" s="280">
        <v>8.3000000000000004E-2</v>
      </c>
      <c r="E119" s="281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</row>
    <row r="120" spans="1:25" ht="16.5" customHeight="1">
      <c r="A120" s="72" t="s">
        <v>205</v>
      </c>
      <c r="B120" s="280">
        <v>2.9000000000000001E-2</v>
      </c>
      <c r="C120" s="281"/>
      <c r="D120" s="280">
        <v>6.2E-2</v>
      </c>
      <c r="E120" s="281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</row>
    <row r="121" spans="1:25" ht="18" customHeight="1">
      <c r="A121" s="72" t="s">
        <v>206</v>
      </c>
      <c r="B121" s="282">
        <v>0.03</v>
      </c>
      <c r="C121" s="283"/>
      <c r="D121" s="282">
        <v>4.5999999999999999E-2</v>
      </c>
      <c r="E121" s="283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</row>
    <row r="122" spans="1:25">
      <c r="A122" s="262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</row>
    <row r="123" spans="1:25" ht="18" customHeight="1">
      <c r="A123" s="271" t="s">
        <v>207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</row>
    <row r="124" spans="1:25" ht="18.75" customHeight="1">
      <c r="A124" s="271" t="s">
        <v>208</v>
      </c>
      <c r="B124" s="289" t="s">
        <v>4</v>
      </c>
      <c r="C124" s="289"/>
      <c r="D124" s="289" t="s">
        <v>5</v>
      </c>
      <c r="E124" s="289"/>
      <c r="F124" s="289" t="s">
        <v>6</v>
      </c>
      <c r="G124" s="289"/>
      <c r="H124" s="289" t="s">
        <v>7</v>
      </c>
      <c r="I124" s="289"/>
      <c r="J124" s="289" t="s">
        <v>8</v>
      </c>
      <c r="K124" s="289"/>
      <c r="L124" s="289" t="s">
        <v>9</v>
      </c>
      <c r="M124" s="289"/>
      <c r="N124" s="289" t="s">
        <v>10</v>
      </c>
      <c r="O124" s="289"/>
      <c r="P124" s="289" t="s">
        <v>11</v>
      </c>
      <c r="Q124" s="289"/>
      <c r="R124" s="289" t="s">
        <v>12</v>
      </c>
      <c r="S124" s="289"/>
      <c r="T124" s="289" t="s">
        <v>13</v>
      </c>
      <c r="U124" s="289"/>
      <c r="V124" s="289" t="s">
        <v>14</v>
      </c>
      <c r="W124" s="289"/>
      <c r="X124" s="289" t="s">
        <v>15</v>
      </c>
      <c r="Y124" s="289"/>
    </row>
    <row r="125" spans="1:25" ht="18" customHeight="1">
      <c r="A125" s="271"/>
      <c r="B125" s="289" t="s">
        <v>209</v>
      </c>
      <c r="C125" s="289"/>
      <c r="D125" s="289" t="s">
        <v>209</v>
      </c>
      <c r="E125" s="289" t="s">
        <v>210</v>
      </c>
      <c r="F125" s="289" t="s">
        <v>209</v>
      </c>
      <c r="G125" s="289" t="s">
        <v>210</v>
      </c>
      <c r="H125" s="289" t="s">
        <v>209</v>
      </c>
      <c r="I125" s="289" t="s">
        <v>210</v>
      </c>
      <c r="J125" s="289" t="s">
        <v>209</v>
      </c>
      <c r="K125" s="289" t="s">
        <v>210</v>
      </c>
      <c r="L125" s="289" t="s">
        <v>209</v>
      </c>
      <c r="M125" s="289" t="s">
        <v>210</v>
      </c>
      <c r="N125" s="289" t="s">
        <v>209</v>
      </c>
      <c r="O125" s="289" t="s">
        <v>210</v>
      </c>
      <c r="P125" s="289" t="s">
        <v>209</v>
      </c>
      <c r="Q125" s="289" t="s">
        <v>210</v>
      </c>
      <c r="R125" s="289" t="s">
        <v>209</v>
      </c>
      <c r="S125" s="289" t="s">
        <v>210</v>
      </c>
      <c r="T125" s="289" t="s">
        <v>209</v>
      </c>
      <c r="U125" s="289" t="s">
        <v>210</v>
      </c>
      <c r="V125" s="289" t="s">
        <v>209</v>
      </c>
      <c r="W125" s="289" t="s">
        <v>210</v>
      </c>
      <c r="X125" s="289" t="s">
        <v>209</v>
      </c>
      <c r="Y125" s="289" t="s">
        <v>210</v>
      </c>
    </row>
    <row r="126" spans="1:25" ht="32.25" customHeight="1">
      <c r="A126" s="271"/>
      <c r="B126" s="64" t="s">
        <v>211</v>
      </c>
      <c r="C126" s="64" t="s">
        <v>210</v>
      </c>
      <c r="D126" s="64" t="s">
        <v>211</v>
      </c>
      <c r="E126" s="64" t="s">
        <v>210</v>
      </c>
      <c r="F126" s="64" t="s">
        <v>211</v>
      </c>
      <c r="G126" s="64" t="s">
        <v>210</v>
      </c>
      <c r="H126" s="64" t="s">
        <v>211</v>
      </c>
      <c r="I126" s="64" t="s">
        <v>210</v>
      </c>
      <c r="J126" s="64" t="s">
        <v>211</v>
      </c>
      <c r="K126" s="64" t="s">
        <v>210</v>
      </c>
      <c r="L126" s="64" t="s">
        <v>211</v>
      </c>
      <c r="M126" s="64" t="s">
        <v>210</v>
      </c>
      <c r="N126" s="64" t="s">
        <v>211</v>
      </c>
      <c r="O126" s="64" t="s">
        <v>210</v>
      </c>
      <c r="P126" s="64" t="s">
        <v>211</v>
      </c>
      <c r="Q126" s="64" t="s">
        <v>210</v>
      </c>
      <c r="R126" s="64" t="s">
        <v>211</v>
      </c>
      <c r="S126" s="64" t="s">
        <v>210</v>
      </c>
      <c r="T126" s="64" t="s">
        <v>211</v>
      </c>
      <c r="U126" s="64" t="s">
        <v>210</v>
      </c>
      <c r="V126" s="64" t="s">
        <v>211</v>
      </c>
      <c r="W126" s="64" t="s">
        <v>210</v>
      </c>
      <c r="X126" s="64" t="s">
        <v>211</v>
      </c>
      <c r="Y126" s="64" t="s">
        <v>210</v>
      </c>
    </row>
    <row r="127" spans="1:25" ht="19.5" customHeight="1">
      <c r="A127" s="73" t="s">
        <v>194</v>
      </c>
      <c r="B127" s="228">
        <v>6.4000000000000001E-2</v>
      </c>
      <c r="C127" s="57">
        <v>0</v>
      </c>
      <c r="D127" s="228">
        <v>0.05</v>
      </c>
      <c r="E127" s="57">
        <v>0</v>
      </c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18" customHeight="1">
      <c r="A128" s="73" t="s">
        <v>195</v>
      </c>
      <c r="B128" s="228">
        <v>9.1999999999999998E-2</v>
      </c>
      <c r="C128" s="57">
        <v>2.9399999999999999E-2</v>
      </c>
      <c r="D128" s="228">
        <v>8.5999999999999993E-2</v>
      </c>
      <c r="E128" s="58">
        <v>0.20130000000000001</v>
      </c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8" customHeight="1">
      <c r="A129" s="73" t="s">
        <v>196</v>
      </c>
      <c r="B129" s="228">
        <v>0</v>
      </c>
      <c r="C129" s="57">
        <v>1.6E-2</v>
      </c>
      <c r="D129" s="228">
        <v>0</v>
      </c>
      <c r="E129" s="57">
        <v>8.6900000000000005E-2</v>
      </c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ht="20.25" customHeight="1">
      <c r="A130" s="73" t="s">
        <v>198</v>
      </c>
      <c r="B130" s="228">
        <v>1.0999999999999999E-2</v>
      </c>
      <c r="C130" s="58">
        <v>0</v>
      </c>
      <c r="D130" s="228">
        <v>0.03</v>
      </c>
      <c r="E130" s="58">
        <v>0</v>
      </c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8.75" customHeight="1">
      <c r="A131" s="73" t="s">
        <v>199</v>
      </c>
      <c r="B131" s="228">
        <v>2.3E-2</v>
      </c>
      <c r="C131" s="58">
        <v>0</v>
      </c>
      <c r="D131" s="228">
        <v>0.04</v>
      </c>
      <c r="E131" s="58">
        <v>0</v>
      </c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8.75" customHeight="1">
      <c r="A132" s="73" t="s">
        <v>201</v>
      </c>
      <c r="B132" s="228">
        <v>3.5999999999999999E-3</v>
      </c>
      <c r="C132" s="58">
        <v>0</v>
      </c>
      <c r="D132" s="228">
        <v>2.1000000000000001E-2</v>
      </c>
      <c r="E132" s="58">
        <v>0</v>
      </c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8" customHeight="1">
      <c r="A133" s="73" t="s">
        <v>202</v>
      </c>
      <c r="B133" s="228">
        <v>1.7999999999999999E-2</v>
      </c>
      <c r="C133" s="58">
        <v>0</v>
      </c>
      <c r="D133" s="228">
        <v>0.04</v>
      </c>
      <c r="E133" s="58">
        <v>0</v>
      </c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7.25" customHeight="1">
      <c r="A134" s="73" t="s">
        <v>203</v>
      </c>
      <c r="B134" s="228">
        <v>2.0000000000000001E-4</v>
      </c>
      <c r="C134" s="58">
        <v>0</v>
      </c>
      <c r="D134" s="228">
        <v>5.0000000000000001E-3</v>
      </c>
      <c r="E134" s="58">
        <v>0</v>
      </c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8" customHeight="1">
      <c r="A135" s="73" t="s">
        <v>204</v>
      </c>
      <c r="B135" s="228">
        <v>0.02</v>
      </c>
      <c r="C135" s="58">
        <v>0</v>
      </c>
      <c r="D135" s="228">
        <v>2.3E-2</v>
      </c>
      <c r="E135" s="58">
        <v>0</v>
      </c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7.25" customHeight="1">
      <c r="A136" s="72" t="s">
        <v>205</v>
      </c>
      <c r="B136" s="228">
        <v>4.2999999999999997E-2</v>
      </c>
      <c r="C136" s="58">
        <v>0</v>
      </c>
      <c r="D136" s="228">
        <v>4.2999999999999997E-2</v>
      </c>
      <c r="E136" s="58">
        <v>0</v>
      </c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9.5" customHeight="1">
      <c r="A137" s="73" t="s">
        <v>212</v>
      </c>
      <c r="B137" s="229">
        <v>6.3799999999999996E-2</v>
      </c>
      <c r="C137" s="78">
        <f>SUM(C127:C136)</f>
        <v>4.5399999999999996E-2</v>
      </c>
      <c r="D137" s="229">
        <v>5.9900000000000002E-2</v>
      </c>
      <c r="E137" s="78">
        <v>6.1100000000000002E-2</v>
      </c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>
      <c r="A138" s="262"/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</row>
    <row r="139" spans="1:25" ht="15.6">
      <c r="A139" s="271" t="s">
        <v>213</v>
      </c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</row>
    <row r="140" spans="1:25" ht="15.6">
      <c r="A140" s="67" t="s">
        <v>214</v>
      </c>
      <c r="B140" s="261" t="s">
        <v>4</v>
      </c>
      <c r="C140" s="261"/>
      <c r="D140" s="304" t="s">
        <v>5</v>
      </c>
      <c r="E140" s="304"/>
      <c r="F140" s="261" t="s">
        <v>6</v>
      </c>
      <c r="G140" s="261"/>
      <c r="H140" s="261" t="s">
        <v>7</v>
      </c>
      <c r="I140" s="261"/>
      <c r="J140" s="261" t="s">
        <v>8</v>
      </c>
      <c r="K140" s="261"/>
      <c r="L140" s="261" t="s">
        <v>9</v>
      </c>
      <c r="M140" s="261"/>
      <c r="N140" s="261" t="s">
        <v>10</v>
      </c>
      <c r="O140" s="261"/>
      <c r="P140" s="261" t="s">
        <v>11</v>
      </c>
      <c r="Q140" s="261"/>
      <c r="R140" s="261" t="s">
        <v>12</v>
      </c>
      <c r="S140" s="261"/>
      <c r="T140" s="261" t="s">
        <v>13</v>
      </c>
      <c r="U140" s="261" t="s">
        <v>13</v>
      </c>
      <c r="V140" s="261" t="s">
        <v>14</v>
      </c>
      <c r="W140" s="261" t="s">
        <v>14</v>
      </c>
      <c r="X140" s="261" t="s">
        <v>15</v>
      </c>
      <c r="Y140" s="261" t="s">
        <v>15</v>
      </c>
    </row>
    <row r="141" spans="1:25" ht="15.75" customHeight="1">
      <c r="A141" s="71" t="s">
        <v>215</v>
      </c>
      <c r="B141" s="255" t="s">
        <v>22</v>
      </c>
      <c r="C141" s="255"/>
      <c r="D141" s="305" t="s">
        <v>22</v>
      </c>
      <c r="E141" s="305"/>
      <c r="F141" s="255" t="s">
        <v>22</v>
      </c>
      <c r="G141" s="255"/>
      <c r="H141" s="255" t="s">
        <v>22</v>
      </c>
      <c r="I141" s="255"/>
      <c r="J141" s="255" t="s">
        <v>22</v>
      </c>
      <c r="K141" s="255"/>
      <c r="L141" s="255" t="s">
        <v>22</v>
      </c>
      <c r="M141" s="255"/>
      <c r="N141" s="255" t="s">
        <v>22</v>
      </c>
      <c r="O141" s="255"/>
      <c r="P141" s="255" t="s">
        <v>22</v>
      </c>
      <c r="Q141" s="255"/>
      <c r="R141" s="255" t="s">
        <v>22</v>
      </c>
      <c r="S141" s="255"/>
      <c r="T141" s="255" t="s">
        <v>22</v>
      </c>
      <c r="U141" s="255"/>
      <c r="V141" s="255" t="s">
        <v>22</v>
      </c>
      <c r="W141" s="255"/>
      <c r="X141" s="255" t="s">
        <v>22</v>
      </c>
      <c r="Y141" s="255"/>
    </row>
    <row r="142" spans="1:25" ht="15.6" customHeight="1">
      <c r="A142" s="67" t="s">
        <v>216</v>
      </c>
      <c r="B142" s="256" t="s">
        <v>22</v>
      </c>
      <c r="C142" s="256"/>
      <c r="D142" s="306" t="s">
        <v>22</v>
      </c>
      <c r="E142" s="306"/>
      <c r="F142" s="256" t="s">
        <v>22</v>
      </c>
      <c r="G142" s="256"/>
      <c r="H142" s="256" t="s">
        <v>22</v>
      </c>
      <c r="I142" s="256"/>
      <c r="J142" s="256" t="s">
        <v>22</v>
      </c>
      <c r="K142" s="256"/>
      <c r="L142" s="256" t="s">
        <v>22</v>
      </c>
      <c r="M142" s="256"/>
      <c r="N142" s="256" t="s">
        <v>22</v>
      </c>
      <c r="O142" s="256"/>
      <c r="P142" s="256" t="s">
        <v>22</v>
      </c>
      <c r="Q142" s="256"/>
      <c r="R142" s="256" t="s">
        <v>22</v>
      </c>
      <c r="S142" s="256"/>
      <c r="T142" s="256" t="s">
        <v>22</v>
      </c>
      <c r="U142" s="256"/>
      <c r="V142" s="256" t="s">
        <v>22</v>
      </c>
      <c r="W142" s="256"/>
      <c r="X142" s="256" t="s">
        <v>22</v>
      </c>
      <c r="Y142" s="256"/>
    </row>
    <row r="143" spans="1:25" ht="15.6" customHeight="1">
      <c r="A143" s="67" t="s">
        <v>217</v>
      </c>
      <c r="B143" s="257" t="s">
        <v>22</v>
      </c>
      <c r="C143" s="257"/>
      <c r="D143" s="301" t="s">
        <v>22</v>
      </c>
      <c r="E143" s="301"/>
      <c r="F143" s="257" t="s">
        <v>22</v>
      </c>
      <c r="G143" s="257"/>
      <c r="H143" s="257" t="s">
        <v>22</v>
      </c>
      <c r="I143" s="257"/>
      <c r="J143" s="257" t="s">
        <v>22</v>
      </c>
      <c r="K143" s="257"/>
      <c r="L143" s="257" t="s">
        <v>22</v>
      </c>
      <c r="M143" s="257"/>
      <c r="N143" s="257" t="s">
        <v>22</v>
      </c>
      <c r="O143" s="257"/>
      <c r="P143" s="257" t="s">
        <v>22</v>
      </c>
      <c r="Q143" s="257"/>
      <c r="R143" s="257" t="s">
        <v>22</v>
      </c>
      <c r="S143" s="257"/>
      <c r="T143" s="257" t="s">
        <v>22</v>
      </c>
      <c r="U143" s="257"/>
      <c r="V143" s="257" t="s">
        <v>22</v>
      </c>
      <c r="W143" s="257"/>
      <c r="X143" s="257" t="s">
        <v>22</v>
      </c>
      <c r="Y143" s="257"/>
    </row>
    <row r="144" spans="1:25" ht="15.6">
      <c r="A144" s="71" t="s">
        <v>218</v>
      </c>
      <c r="B144" s="258">
        <v>0.2286</v>
      </c>
      <c r="C144" s="258"/>
      <c r="D144" s="258">
        <f>(74+800)/(3566+389)</f>
        <v>0.22098609355246523</v>
      </c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8"/>
      <c r="R144" s="258"/>
      <c r="S144" s="258"/>
      <c r="T144" s="258"/>
      <c r="U144" s="258"/>
      <c r="V144" s="258"/>
      <c r="W144" s="258"/>
      <c r="X144" s="258"/>
      <c r="Y144" s="258"/>
    </row>
    <row r="145" spans="1:25" ht="15.6" customHeight="1">
      <c r="A145" s="67" t="s">
        <v>216</v>
      </c>
      <c r="B145" s="259">
        <v>0.25</v>
      </c>
      <c r="C145" s="260"/>
      <c r="D145" s="259">
        <v>0.22</v>
      </c>
      <c r="E145" s="260"/>
      <c r="F145" s="259"/>
      <c r="G145" s="260"/>
      <c r="H145" s="259"/>
      <c r="I145" s="260"/>
      <c r="J145" s="259"/>
      <c r="K145" s="260"/>
      <c r="L145" s="259"/>
      <c r="M145" s="260"/>
      <c r="N145" s="259"/>
      <c r="O145" s="260"/>
      <c r="P145" s="259"/>
      <c r="Q145" s="260"/>
      <c r="R145" s="259"/>
      <c r="S145" s="260"/>
      <c r="T145" s="259"/>
      <c r="U145" s="260"/>
      <c r="V145" s="259"/>
      <c r="W145" s="260"/>
      <c r="X145" s="259"/>
      <c r="Y145" s="260"/>
    </row>
    <row r="146" spans="1:25" ht="15.6">
      <c r="A146" s="67" t="s">
        <v>217</v>
      </c>
      <c r="B146" s="259">
        <v>0.11</v>
      </c>
      <c r="C146" s="260"/>
      <c r="D146" s="259">
        <v>0.19</v>
      </c>
      <c r="E146" s="260"/>
      <c r="F146" s="259"/>
      <c r="G146" s="260"/>
      <c r="H146" s="259"/>
      <c r="I146" s="260"/>
      <c r="J146" s="259"/>
      <c r="K146" s="260"/>
      <c r="L146" s="259"/>
      <c r="M146" s="260"/>
      <c r="N146" s="259"/>
      <c r="O146" s="260"/>
      <c r="P146" s="259"/>
      <c r="Q146" s="260"/>
      <c r="R146" s="259"/>
      <c r="S146" s="260"/>
      <c r="T146" s="259"/>
      <c r="U146" s="260"/>
      <c r="V146" s="259"/>
      <c r="W146" s="260"/>
      <c r="X146" s="259"/>
      <c r="Y146" s="260"/>
    </row>
    <row r="147" spans="1:25">
      <c r="A147" s="300"/>
      <c r="B147" s="300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</row>
    <row r="148" spans="1:25" ht="18.75" customHeight="1">
      <c r="A148" s="271" t="s">
        <v>219</v>
      </c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</row>
    <row r="149" spans="1:25" ht="18" customHeight="1">
      <c r="A149" s="307" t="s">
        <v>220</v>
      </c>
      <c r="B149" s="299" t="s">
        <v>4</v>
      </c>
      <c r="C149" s="299"/>
      <c r="D149" s="299" t="s">
        <v>5</v>
      </c>
      <c r="E149" s="299"/>
      <c r="F149" s="299" t="s">
        <v>6</v>
      </c>
      <c r="G149" s="299"/>
      <c r="H149" s="299" t="s">
        <v>7</v>
      </c>
      <c r="I149" s="299"/>
      <c r="J149" s="299" t="s">
        <v>8</v>
      </c>
      <c r="K149" s="299"/>
      <c r="L149" s="299" t="s">
        <v>9</v>
      </c>
      <c r="M149" s="299"/>
      <c r="N149" s="299" t="s">
        <v>10</v>
      </c>
      <c r="O149" s="299"/>
      <c r="P149" s="299" t="s">
        <v>11</v>
      </c>
      <c r="Q149" s="299"/>
      <c r="R149" s="299" t="s">
        <v>12</v>
      </c>
      <c r="S149" s="299"/>
      <c r="T149" s="299" t="s">
        <v>13</v>
      </c>
      <c r="U149" s="299"/>
      <c r="V149" s="299" t="s">
        <v>14</v>
      </c>
      <c r="W149" s="299"/>
      <c r="X149" s="299" t="s">
        <v>15</v>
      </c>
      <c r="Y149" s="299"/>
    </row>
    <row r="150" spans="1:25" ht="29.1" customHeight="1">
      <c r="A150" s="308"/>
      <c r="B150" s="65" t="s">
        <v>221</v>
      </c>
      <c r="C150" s="65" t="s">
        <v>222</v>
      </c>
      <c r="D150" s="65" t="s">
        <v>221</v>
      </c>
      <c r="E150" s="65" t="s">
        <v>222</v>
      </c>
      <c r="F150" s="65" t="s">
        <v>221</v>
      </c>
      <c r="G150" s="65" t="s">
        <v>222</v>
      </c>
      <c r="H150" s="65" t="s">
        <v>221</v>
      </c>
      <c r="I150" s="65" t="s">
        <v>222</v>
      </c>
      <c r="J150" s="65" t="s">
        <v>221</v>
      </c>
      <c r="K150" s="65" t="s">
        <v>222</v>
      </c>
      <c r="L150" s="65" t="s">
        <v>221</v>
      </c>
      <c r="M150" s="65" t="s">
        <v>222</v>
      </c>
      <c r="N150" s="65" t="s">
        <v>221</v>
      </c>
      <c r="O150" s="65" t="s">
        <v>222</v>
      </c>
      <c r="P150" s="65" t="s">
        <v>221</v>
      </c>
      <c r="Q150" s="65" t="s">
        <v>222</v>
      </c>
      <c r="R150" s="65" t="s">
        <v>221</v>
      </c>
      <c r="S150" s="65" t="s">
        <v>222</v>
      </c>
      <c r="T150" s="65" t="s">
        <v>221</v>
      </c>
      <c r="U150" s="65" t="s">
        <v>222</v>
      </c>
      <c r="V150" s="65" t="s">
        <v>221</v>
      </c>
      <c r="W150" s="65" t="s">
        <v>222</v>
      </c>
      <c r="X150" s="65" t="s">
        <v>221</v>
      </c>
      <c r="Y150" s="65" t="s">
        <v>222</v>
      </c>
    </row>
    <row r="151" spans="1:25" ht="19.5" customHeight="1">
      <c r="A151" s="82" t="s">
        <v>85</v>
      </c>
      <c r="B151" s="213">
        <v>0</v>
      </c>
      <c r="C151" s="61">
        <v>0.33333333333333331</v>
      </c>
      <c r="D151" s="239">
        <v>0</v>
      </c>
      <c r="E151" s="214">
        <v>0.5161290322580645</v>
      </c>
      <c r="F151" s="59"/>
      <c r="G151" s="59"/>
      <c r="H151" s="59"/>
      <c r="I151" s="59"/>
      <c r="J151" s="59"/>
      <c r="K151" s="59"/>
      <c r="L151" s="59"/>
      <c r="M151" s="59"/>
      <c r="N151" s="60"/>
      <c r="O151" s="60"/>
      <c r="P151" s="60"/>
      <c r="Q151" s="60"/>
      <c r="R151" s="61"/>
      <c r="S151" s="61"/>
      <c r="T151" s="94"/>
      <c r="U151" s="95"/>
      <c r="V151" s="126"/>
      <c r="W151" s="126"/>
      <c r="X151" s="95"/>
      <c r="Y151" s="95"/>
    </row>
    <row r="152" spans="1:25" ht="18.75" customHeight="1">
      <c r="A152" s="82" t="s">
        <v>81</v>
      </c>
      <c r="B152" s="214" t="s">
        <v>22</v>
      </c>
      <c r="C152" s="61" t="s">
        <v>22</v>
      </c>
      <c r="D152" s="239" t="s">
        <v>22</v>
      </c>
      <c r="E152" s="214" t="s">
        <v>22</v>
      </c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47"/>
      <c r="U152" s="47"/>
      <c r="V152" s="125"/>
      <c r="W152" s="126"/>
      <c r="X152" s="47"/>
      <c r="Y152" s="47"/>
    </row>
    <row r="153" spans="1:25" ht="18.75" customHeight="1">
      <c r="A153" s="82" t="s">
        <v>76</v>
      </c>
      <c r="B153" s="214">
        <v>0</v>
      </c>
      <c r="C153" s="61">
        <v>0.47058823529411764</v>
      </c>
      <c r="D153" s="239">
        <v>0</v>
      </c>
      <c r="E153" s="214">
        <v>0.36585365853658536</v>
      </c>
      <c r="F153" s="59"/>
      <c r="G153" s="62"/>
      <c r="H153" s="59"/>
      <c r="I153" s="59"/>
      <c r="J153" s="59"/>
      <c r="K153" s="59"/>
      <c r="L153" s="62"/>
      <c r="M153" s="62"/>
      <c r="N153" s="60"/>
      <c r="O153" s="60"/>
      <c r="P153" s="60"/>
      <c r="Q153" s="60"/>
      <c r="R153" s="61"/>
      <c r="S153" s="62"/>
      <c r="T153" s="94"/>
      <c r="U153" s="94"/>
      <c r="V153" s="126"/>
      <c r="W153" s="126"/>
      <c r="X153" s="95"/>
      <c r="Y153" s="95"/>
    </row>
    <row r="154" spans="1:25" ht="15.6">
      <c r="A154" s="82" t="s">
        <v>82</v>
      </c>
      <c r="B154" s="214" t="s">
        <v>22</v>
      </c>
      <c r="C154" s="61" t="s">
        <v>22</v>
      </c>
      <c r="D154" s="239" t="s">
        <v>22</v>
      </c>
      <c r="E154" s="214" t="s">
        <v>22</v>
      </c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47"/>
      <c r="U154" s="47"/>
      <c r="V154" s="125"/>
      <c r="W154" s="126"/>
      <c r="X154" s="47"/>
      <c r="Y154" s="47"/>
    </row>
    <row r="155" spans="1:25" ht="15.6">
      <c r="A155" s="82" t="s">
        <v>83</v>
      </c>
      <c r="B155" s="214" t="s">
        <v>22</v>
      </c>
      <c r="C155" s="61" t="s">
        <v>22</v>
      </c>
      <c r="D155" s="239" t="s">
        <v>22</v>
      </c>
      <c r="E155" s="214" t="s">
        <v>22</v>
      </c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47"/>
      <c r="U155" s="47"/>
      <c r="V155" s="125"/>
      <c r="W155" s="126"/>
      <c r="X155" s="47"/>
      <c r="Y155" s="47"/>
    </row>
    <row r="156" spans="1:25" ht="18" customHeight="1">
      <c r="A156" s="82" t="s">
        <v>87</v>
      </c>
      <c r="B156" s="214">
        <v>0</v>
      </c>
      <c r="C156" s="61">
        <v>0</v>
      </c>
      <c r="D156" s="239">
        <v>0</v>
      </c>
      <c r="E156" s="214">
        <v>0</v>
      </c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47"/>
      <c r="U156" s="47"/>
      <c r="V156" s="47"/>
      <c r="W156" s="47"/>
      <c r="X156" s="47"/>
      <c r="Y156" s="47"/>
    </row>
    <row r="157" spans="1:25" ht="15.6">
      <c r="A157" s="82" t="s">
        <v>223</v>
      </c>
      <c r="B157" s="214">
        <v>7.9365079365079361E-3</v>
      </c>
      <c r="C157" s="61">
        <v>0.248</v>
      </c>
      <c r="D157" s="239">
        <v>0</v>
      </c>
      <c r="E157" s="214">
        <v>0.23015873015873015</v>
      </c>
      <c r="F157" s="59"/>
      <c r="G157" s="59"/>
      <c r="H157" s="59"/>
      <c r="I157" s="59"/>
      <c r="J157" s="59"/>
      <c r="K157" s="59"/>
      <c r="L157" s="59"/>
      <c r="M157" s="59"/>
      <c r="N157" s="21"/>
      <c r="O157" s="21"/>
      <c r="P157" s="60"/>
      <c r="Q157" s="59"/>
      <c r="R157" s="60"/>
      <c r="S157" s="62"/>
      <c r="T157" s="94"/>
      <c r="U157" s="94"/>
      <c r="V157" s="126"/>
      <c r="W157" s="126"/>
      <c r="X157" s="95"/>
      <c r="Y157" s="95"/>
    </row>
    <row r="158" spans="1:25" ht="18" customHeight="1">
      <c r="A158" s="82" t="s">
        <v>224</v>
      </c>
      <c r="B158" s="214">
        <v>0</v>
      </c>
      <c r="C158" s="61">
        <v>0.53488372093023251</v>
      </c>
      <c r="D158" s="239">
        <v>0</v>
      </c>
      <c r="E158" s="214">
        <v>0.35714285714285715</v>
      </c>
      <c r="F158" s="59"/>
      <c r="G158" s="59"/>
      <c r="H158" s="59"/>
      <c r="I158" s="59"/>
      <c r="J158" s="59"/>
      <c r="K158" s="59"/>
      <c r="L158" s="59"/>
      <c r="M158" s="59"/>
      <c r="N158" s="60"/>
      <c r="O158" s="60"/>
      <c r="P158" s="60"/>
      <c r="Q158" s="60"/>
      <c r="R158" s="60"/>
      <c r="S158" s="62"/>
      <c r="T158" s="94"/>
      <c r="U158" s="94"/>
      <c r="V158" s="126"/>
      <c r="W158" s="126"/>
      <c r="X158" s="95"/>
      <c r="Y158" s="95"/>
    </row>
    <row r="159" spans="1:25" ht="15.6">
      <c r="A159" s="82" t="s">
        <v>225</v>
      </c>
      <c r="B159" s="214">
        <v>3.3898305084745763E-2</v>
      </c>
      <c r="C159" s="61">
        <v>0.35087719298245612</v>
      </c>
      <c r="D159" s="239">
        <v>0</v>
      </c>
      <c r="E159" s="214">
        <v>0.26923076923076922</v>
      </c>
      <c r="F159" s="59"/>
      <c r="G159" s="59"/>
      <c r="H159" s="59"/>
      <c r="I159" s="59"/>
      <c r="J159" s="59"/>
      <c r="K159" s="59"/>
      <c r="L159" s="59"/>
      <c r="M159" s="59"/>
      <c r="N159" s="60"/>
      <c r="O159" s="60"/>
      <c r="P159" s="60"/>
      <c r="Q159" s="60"/>
      <c r="R159" s="61"/>
      <c r="S159" s="62"/>
      <c r="T159" s="94"/>
      <c r="U159" s="95"/>
      <c r="V159" s="126"/>
      <c r="W159" s="126"/>
      <c r="X159" s="95"/>
      <c r="Y159" s="95"/>
    </row>
    <row r="160" spans="1:25" ht="15.6">
      <c r="A160" s="82" t="s">
        <v>206</v>
      </c>
      <c r="B160" s="215">
        <v>1.1278195488721804E-2</v>
      </c>
      <c r="C160" s="76">
        <v>0.33840304182509506</v>
      </c>
      <c r="D160" s="240">
        <v>0</v>
      </c>
      <c r="E160" s="215">
        <v>0.29924242424242425</v>
      </c>
      <c r="F160" s="75"/>
      <c r="G160" s="75"/>
      <c r="H160" s="75"/>
      <c r="I160" s="75"/>
      <c r="J160" s="75"/>
      <c r="K160" s="75"/>
      <c r="L160" s="75"/>
      <c r="M160" s="75"/>
      <c r="N160" s="74"/>
      <c r="O160" s="74"/>
      <c r="P160" s="74"/>
      <c r="Q160" s="74"/>
      <c r="R160" s="76"/>
      <c r="S160" s="77"/>
      <c r="T160" s="96"/>
      <c r="U160" s="96"/>
      <c r="V160" s="131"/>
      <c r="W160" s="131"/>
      <c r="X160" s="96"/>
      <c r="Y160" s="96"/>
    </row>
    <row r="162" spans="2:9" s="63" customFormat="1" ht="15.6">
      <c r="B162" s="9"/>
      <c r="C162" s="9"/>
      <c r="D162" s="9"/>
      <c r="E162" s="9"/>
      <c r="F162" s="9" t="s">
        <v>116</v>
      </c>
      <c r="G162" s="9"/>
      <c r="H162" s="9"/>
    </row>
    <row r="163" spans="2:9" ht="15.6">
      <c r="B163" s="18"/>
      <c r="C163" s="18"/>
      <c r="D163" s="18"/>
      <c r="E163" s="18"/>
      <c r="F163" s="18"/>
      <c r="G163" s="18"/>
      <c r="H163" s="18"/>
      <c r="I163" s="18"/>
    </row>
    <row r="164" spans="2:9" ht="15.6">
      <c r="B164" s="18"/>
      <c r="C164" s="18"/>
      <c r="D164" s="18"/>
      <c r="E164" s="18"/>
      <c r="F164" s="18"/>
      <c r="G164" s="18"/>
      <c r="H164" s="18"/>
      <c r="I164" s="18"/>
    </row>
    <row r="165" spans="2:9" ht="15.6">
      <c r="B165" s="18"/>
      <c r="C165" s="18"/>
      <c r="D165" s="18"/>
      <c r="E165" s="18"/>
      <c r="F165" s="18"/>
      <c r="G165" s="18"/>
      <c r="H165" s="18"/>
      <c r="I165" s="18"/>
    </row>
    <row r="166" spans="2:9" ht="15.6">
      <c r="B166" s="18"/>
      <c r="C166" s="18"/>
      <c r="D166" s="18"/>
      <c r="E166" s="18"/>
      <c r="F166" s="18"/>
      <c r="G166" s="18"/>
      <c r="H166" s="18"/>
      <c r="I166" s="18"/>
    </row>
    <row r="167" spans="2:9" ht="15.6">
      <c r="B167" s="18"/>
      <c r="C167" s="18"/>
      <c r="D167" s="19"/>
      <c r="E167" s="19"/>
      <c r="F167" s="19"/>
      <c r="G167" s="19"/>
      <c r="H167" s="19"/>
      <c r="I167" s="18"/>
    </row>
    <row r="168" spans="2:9" ht="15" customHeight="1">
      <c r="B168" s="309" t="s">
        <v>117</v>
      </c>
      <c r="C168" s="309"/>
      <c r="D168" s="309"/>
      <c r="E168" s="309"/>
      <c r="F168" s="309"/>
      <c r="G168" s="309"/>
      <c r="H168" s="309"/>
      <c r="I168" s="309"/>
    </row>
    <row r="169" spans="2:9" ht="15" customHeight="1">
      <c r="B169" s="309" t="s">
        <v>118</v>
      </c>
      <c r="C169" s="309"/>
      <c r="D169" s="309"/>
      <c r="E169" s="309"/>
      <c r="F169" s="309"/>
      <c r="G169" s="309"/>
      <c r="H169" s="309"/>
      <c r="I169" s="309"/>
    </row>
    <row r="170" spans="2:9" ht="15" customHeight="1">
      <c r="B170" s="309" t="s">
        <v>119</v>
      </c>
      <c r="C170" s="309"/>
      <c r="D170" s="309"/>
      <c r="E170" s="309"/>
      <c r="F170" s="309"/>
      <c r="G170" s="309"/>
      <c r="H170" s="309"/>
      <c r="I170" s="309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8:I168"/>
    <mergeCell ref="B169:I169"/>
    <mergeCell ref="B170:I170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Y67"/>
  <sheetViews>
    <sheetView tabSelected="1" topLeftCell="A4" zoomScale="70" zoomScaleNormal="70" workbookViewId="0">
      <pane ySplit="4" topLeftCell="A51" activePane="bottomLeft" state="frozen"/>
      <selection pane="bottomLeft" activeCell="A4" sqref="A4:O67"/>
      <selection activeCell="A4" sqref="A4"/>
    </sheetView>
  </sheetViews>
  <sheetFormatPr defaultColWidth="9.140625" defaultRowHeight="15" customHeight="1"/>
  <cols>
    <col min="1" max="1" width="61.85546875" style="139" customWidth="1"/>
    <col min="2" max="2" width="13.42578125" style="173" customWidth="1"/>
    <col min="3" max="3" width="17.5703125" style="173" hidden="1" customWidth="1"/>
    <col min="4" max="4" width="16.7109375" style="197" bestFit="1" customWidth="1"/>
    <col min="5" max="5" width="17.42578125" style="197" customWidth="1"/>
    <col min="6" max="6" width="9" style="162" customWidth="1"/>
    <col min="7" max="7" width="8.5703125" style="162" customWidth="1"/>
    <col min="8" max="8" width="9.140625" style="162" customWidth="1"/>
    <col min="9" max="9" width="8.7109375" style="162" customWidth="1"/>
    <col min="10" max="10" width="8.42578125" style="162" customWidth="1"/>
    <col min="11" max="11" width="9" style="162" customWidth="1"/>
    <col min="12" max="12" width="10.5703125" style="162" customWidth="1"/>
    <col min="13" max="13" width="8.85546875" style="162" customWidth="1"/>
    <col min="14" max="14" width="10.85546875" style="162" customWidth="1"/>
    <col min="15" max="15" width="11.85546875" style="162" customWidth="1"/>
    <col min="16" max="16" width="9.5703125" style="139" bestFit="1" customWidth="1"/>
    <col min="17" max="16384" width="9.140625" style="139"/>
  </cols>
  <sheetData>
    <row r="1" spans="1:25" ht="69" customHeight="1">
      <c r="A1" s="169"/>
      <c r="B1" s="9"/>
      <c r="C1" s="9"/>
      <c r="D1" s="9"/>
      <c r="E1" s="9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25" ht="18.75" customHeight="1">
      <c r="A2" s="171" t="s">
        <v>0</v>
      </c>
      <c r="B2" s="137"/>
      <c r="C2" s="137"/>
      <c r="D2" s="137"/>
      <c r="E2" s="137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25" ht="15.75" customHeight="1">
      <c r="A3" s="199" t="s">
        <v>226</v>
      </c>
      <c r="B3" s="200"/>
      <c r="C3" s="200"/>
      <c r="D3" s="200"/>
      <c r="E3" s="200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" ht="82.5" customHeight="1">
      <c r="A4" s="202"/>
      <c r="B4" s="203"/>
      <c r="C4" s="203"/>
      <c r="D4" s="203"/>
      <c r="E4" s="203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25" ht="15.75" customHeight="1">
      <c r="A5" s="310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</row>
    <row r="6" spans="1:25" ht="15.75" customHeight="1">
      <c r="A6" s="312" t="s">
        <v>227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</row>
    <row r="7" spans="1:25" ht="34.5">
      <c r="A7" s="69" t="s">
        <v>228</v>
      </c>
      <c r="B7" s="128" t="s">
        <v>229</v>
      </c>
      <c r="C7" s="231">
        <v>45992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13</v>
      </c>
      <c r="N7" s="13" t="s">
        <v>14</v>
      </c>
      <c r="O7" s="13" t="s">
        <v>15</v>
      </c>
    </row>
    <row r="8" spans="1:25" ht="24" customHeight="1">
      <c r="A8" s="141" t="s">
        <v>230</v>
      </c>
      <c r="B8" s="314" t="s">
        <v>231</v>
      </c>
      <c r="C8" s="185">
        <f>IF(C10="","",C9/C10)</f>
        <v>1.2108427267847557</v>
      </c>
      <c r="D8" s="185">
        <f>IF(D10="","",D9/D10)</f>
        <v>1.1506834799194658</v>
      </c>
      <c r="E8" s="185">
        <f t="shared" ref="E8:O8" si="0">IF(E10="","",E9/E10)</f>
        <v>1.2036061351129845</v>
      </c>
      <c r="F8" s="161" t="str">
        <f t="shared" si="0"/>
        <v/>
      </c>
      <c r="G8" s="161" t="str">
        <f t="shared" si="0"/>
        <v/>
      </c>
      <c r="H8" s="161" t="str">
        <f t="shared" si="0"/>
        <v/>
      </c>
      <c r="I8" s="161" t="str">
        <f t="shared" si="0"/>
        <v/>
      </c>
      <c r="J8" s="161" t="str">
        <f t="shared" si="0"/>
        <v/>
      </c>
      <c r="K8" s="161" t="str">
        <f t="shared" si="0"/>
        <v/>
      </c>
      <c r="L8" s="161" t="str">
        <f t="shared" si="0"/>
        <v/>
      </c>
      <c r="M8" s="161" t="str">
        <f t="shared" si="0"/>
        <v/>
      </c>
      <c r="N8" s="161" t="str">
        <f t="shared" si="0"/>
        <v/>
      </c>
      <c r="O8" s="161" t="str">
        <f t="shared" si="0"/>
        <v/>
      </c>
      <c r="P8" s="143"/>
    </row>
    <row r="9" spans="1:25" ht="15" customHeight="1">
      <c r="A9" s="144" t="s">
        <v>232</v>
      </c>
      <c r="B9" s="315"/>
      <c r="C9" s="188">
        <v>11279</v>
      </c>
      <c r="D9" s="188">
        <v>10859</v>
      </c>
      <c r="E9" s="188">
        <v>10280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46"/>
    </row>
    <row r="10" spans="1:25" ht="15" customHeight="1">
      <c r="A10" s="144" t="s">
        <v>233</v>
      </c>
      <c r="B10" s="316"/>
      <c r="C10" s="186">
        <v>9315</v>
      </c>
      <c r="D10" s="186">
        <v>9437</v>
      </c>
      <c r="E10" s="186">
        <v>8541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46"/>
    </row>
    <row r="11" spans="1:25" ht="15.6">
      <c r="A11" s="141" t="s">
        <v>234</v>
      </c>
      <c r="B11" s="314" t="s">
        <v>235</v>
      </c>
      <c r="C11" s="187">
        <f>IF(C13="","",C12/C13)</f>
        <v>8.8601728201099768</v>
      </c>
      <c r="D11" s="187">
        <f>IF(D13="","",D12/D13)</f>
        <v>8.5302435192458752</v>
      </c>
      <c r="E11" s="187">
        <f t="shared" ref="E11:O11" si="1">IF(E13="","",E12/E13)</f>
        <v>9.2114695340501793</v>
      </c>
      <c r="F11" s="161" t="str">
        <f t="shared" si="1"/>
        <v/>
      </c>
      <c r="G11" s="161" t="str">
        <f t="shared" si="1"/>
        <v/>
      </c>
      <c r="H11" s="161" t="str">
        <f t="shared" si="1"/>
        <v/>
      </c>
      <c r="I11" s="161" t="str">
        <f t="shared" si="1"/>
        <v/>
      </c>
      <c r="J11" s="161" t="str">
        <f t="shared" si="1"/>
        <v/>
      </c>
      <c r="K11" s="161" t="str">
        <f t="shared" si="1"/>
        <v/>
      </c>
      <c r="L11" s="161" t="str">
        <f t="shared" si="1"/>
        <v/>
      </c>
      <c r="M11" s="161" t="str">
        <f t="shared" si="1"/>
        <v/>
      </c>
      <c r="N11" s="161" t="str">
        <f t="shared" si="1"/>
        <v/>
      </c>
      <c r="O11" s="161" t="str">
        <f t="shared" si="1"/>
        <v/>
      </c>
    </row>
    <row r="12" spans="1:25" ht="15" customHeight="1">
      <c r="A12" s="144" t="s">
        <v>232</v>
      </c>
      <c r="B12" s="315"/>
      <c r="C12" s="188">
        <v>11279</v>
      </c>
      <c r="D12" s="188">
        <f>D9</f>
        <v>10859</v>
      </c>
      <c r="E12" s="188">
        <f>E9</f>
        <v>10280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</row>
    <row r="13" spans="1:25" ht="15" customHeight="1">
      <c r="A13" s="148" t="s">
        <v>236</v>
      </c>
      <c r="B13" s="316"/>
      <c r="C13" s="188">
        <v>1273</v>
      </c>
      <c r="D13" s="188">
        <f>IF(('Produção 2026'!C8=0)," ",'Produção 2026'!C8)</f>
        <v>1273</v>
      </c>
      <c r="E13" s="188">
        <f>'Produção 2026'!D8</f>
        <v>1116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46"/>
      <c r="Q13" s="233"/>
    </row>
    <row r="14" spans="1:25" ht="15.6">
      <c r="A14" s="141" t="s">
        <v>237</v>
      </c>
      <c r="B14" s="314" t="s">
        <v>238</v>
      </c>
      <c r="C14" s="189">
        <f>IFERROR((((1-C15)*C16)/C15)*24,"")</f>
        <v>11.853243243243233</v>
      </c>
      <c r="D14" s="189">
        <f>IFERROR((((1-D15)*D16)/D15)*24,"")</f>
        <v>12.006999558743718</v>
      </c>
      <c r="E14" s="189">
        <f t="shared" ref="E14:O14" si="2">IFERROR(((1-E15)*E16/E15)*24,"")</f>
        <v>7.3554697829241373</v>
      </c>
      <c r="F14" s="147" t="str">
        <f t="shared" si="2"/>
        <v/>
      </c>
      <c r="G14" s="147" t="str">
        <f t="shared" si="2"/>
        <v/>
      </c>
      <c r="H14" s="147" t="str">
        <f t="shared" si="2"/>
        <v/>
      </c>
      <c r="I14" s="147" t="str">
        <f t="shared" si="2"/>
        <v/>
      </c>
      <c r="J14" s="147" t="str">
        <f t="shared" si="2"/>
        <v/>
      </c>
      <c r="K14" s="147" t="str">
        <f t="shared" si="2"/>
        <v/>
      </c>
      <c r="L14" s="147" t="str">
        <f t="shared" si="2"/>
        <v/>
      </c>
      <c r="M14" s="147" t="str">
        <f t="shared" si="2"/>
        <v/>
      </c>
      <c r="N14" s="147" t="str">
        <f t="shared" si="2"/>
        <v/>
      </c>
      <c r="O14" s="147" t="str">
        <f t="shared" si="2"/>
        <v/>
      </c>
    </row>
    <row r="15" spans="1:25" ht="15" customHeight="1">
      <c r="A15" s="144" t="s">
        <v>239</v>
      </c>
      <c r="B15" s="315"/>
      <c r="C15" s="190">
        <v>0.94720000000000004</v>
      </c>
      <c r="D15" s="190">
        <v>0.9446</v>
      </c>
      <c r="E15" s="190">
        <v>0.96779999999999999</v>
      </c>
      <c r="F15" s="149" t="str">
        <f>F8</f>
        <v/>
      </c>
      <c r="G15" s="149" t="str">
        <f>G8</f>
        <v/>
      </c>
      <c r="H15" s="149" t="str">
        <f>H8</f>
        <v/>
      </c>
      <c r="I15" s="149" t="str">
        <f t="shared" ref="I15:O15" si="3">I8</f>
        <v/>
      </c>
      <c r="J15" s="149" t="str">
        <f t="shared" si="3"/>
        <v/>
      </c>
      <c r="K15" s="149" t="str">
        <f t="shared" si="3"/>
        <v/>
      </c>
      <c r="L15" s="149" t="str">
        <f t="shared" si="3"/>
        <v/>
      </c>
      <c r="M15" s="149" t="str">
        <f t="shared" si="3"/>
        <v/>
      </c>
      <c r="N15" s="149" t="str">
        <f t="shared" si="3"/>
        <v/>
      </c>
      <c r="O15" s="149" t="str">
        <f t="shared" si="3"/>
        <v/>
      </c>
    </row>
    <row r="16" spans="1:25" ht="15" customHeight="1">
      <c r="A16" s="144" t="s">
        <v>240</v>
      </c>
      <c r="B16" s="316"/>
      <c r="C16" s="191">
        <v>8.86</v>
      </c>
      <c r="D16" s="191">
        <f>D11</f>
        <v>8.5302435192458752</v>
      </c>
      <c r="E16" s="191">
        <f>E11</f>
        <v>9.2114695340501793</v>
      </c>
      <c r="F16" s="150" t="str">
        <f>F11</f>
        <v/>
      </c>
      <c r="G16" s="150" t="str">
        <f>G11</f>
        <v/>
      </c>
      <c r="H16" s="150" t="str">
        <f>H11</f>
        <v/>
      </c>
      <c r="I16" s="150" t="str">
        <f t="shared" ref="I16:O16" si="4">I11</f>
        <v/>
      </c>
      <c r="J16" s="150" t="str">
        <f t="shared" si="4"/>
        <v/>
      </c>
      <c r="K16" s="150" t="str">
        <f t="shared" si="4"/>
        <v/>
      </c>
      <c r="L16" s="150" t="str">
        <f t="shared" si="4"/>
        <v/>
      </c>
      <c r="M16" s="150" t="str">
        <f t="shared" si="4"/>
        <v/>
      </c>
      <c r="N16" s="150" t="str">
        <f t="shared" si="4"/>
        <v/>
      </c>
      <c r="O16" s="150" t="str">
        <f t="shared" si="4"/>
        <v/>
      </c>
    </row>
    <row r="17" spans="1:15" ht="15.6">
      <c r="A17" s="141" t="s">
        <v>241</v>
      </c>
      <c r="B17" s="317" t="s">
        <v>242</v>
      </c>
      <c r="C17" s="185">
        <f>IF(C19="","",C18/C19)</f>
        <v>4.7132757266300077E-2</v>
      </c>
      <c r="D17" s="185">
        <f>IF(D19="","",D18/D19)</f>
        <v>5.0314465408805034E-2</v>
      </c>
      <c r="E17" s="185">
        <f t="shared" ref="E17:O17" si="5">IF(E19="","",E18/E19)</f>
        <v>3.6219081272084806E-2</v>
      </c>
      <c r="F17" s="161" t="str">
        <f t="shared" si="5"/>
        <v/>
      </c>
      <c r="G17" s="161" t="str">
        <f t="shared" si="5"/>
        <v/>
      </c>
      <c r="H17" s="161" t="str">
        <f t="shared" si="5"/>
        <v/>
      </c>
      <c r="I17" s="161" t="str">
        <f t="shared" si="5"/>
        <v/>
      </c>
      <c r="J17" s="161" t="str">
        <f t="shared" si="5"/>
        <v/>
      </c>
      <c r="K17" s="161" t="str">
        <f t="shared" si="5"/>
        <v/>
      </c>
      <c r="L17" s="161" t="str">
        <f t="shared" si="5"/>
        <v/>
      </c>
      <c r="M17" s="161" t="str">
        <f t="shared" si="5"/>
        <v/>
      </c>
      <c r="N17" s="161" t="str">
        <f t="shared" si="5"/>
        <v/>
      </c>
      <c r="O17" s="161" t="str">
        <f t="shared" si="5"/>
        <v/>
      </c>
    </row>
    <row r="18" spans="1:15" ht="15" customHeight="1">
      <c r="A18" s="153" t="s">
        <v>243</v>
      </c>
      <c r="B18" s="318"/>
      <c r="C18" s="186">
        <v>60</v>
      </c>
      <c r="D18" s="186">
        <v>64</v>
      </c>
      <c r="E18" s="186">
        <v>41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 ht="15" customHeight="1">
      <c r="A19" s="153" t="s">
        <v>244</v>
      </c>
      <c r="B19" s="319"/>
      <c r="C19" s="186">
        <v>1273</v>
      </c>
      <c r="D19" s="186">
        <v>1272</v>
      </c>
      <c r="E19" s="186">
        <v>1132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 ht="15.6">
      <c r="A20" s="141" t="s">
        <v>245</v>
      </c>
      <c r="B20" s="317" t="s">
        <v>246</v>
      </c>
      <c r="C20" s="185">
        <f>IF(C22="","",C21/C22)</f>
        <v>9.8039215686274508E-3</v>
      </c>
      <c r="D20" s="185">
        <f>IF(D22="","",D21/D22)</f>
        <v>2.4E-2</v>
      </c>
      <c r="E20" s="237">
        <f t="shared" ref="E20:O20" si="6">IF(E22="","",E21/E22)</f>
        <v>1.7241379310344827E-2</v>
      </c>
      <c r="F20" s="161" t="str">
        <f t="shared" si="6"/>
        <v/>
      </c>
      <c r="G20" s="161" t="str">
        <f t="shared" si="6"/>
        <v/>
      </c>
      <c r="H20" s="161" t="str">
        <f t="shared" si="6"/>
        <v/>
      </c>
      <c r="I20" s="161" t="str">
        <f t="shared" si="6"/>
        <v/>
      </c>
      <c r="J20" s="161" t="str">
        <f t="shared" si="6"/>
        <v/>
      </c>
      <c r="K20" s="161" t="str">
        <f t="shared" si="6"/>
        <v/>
      </c>
      <c r="L20" s="161" t="str">
        <f t="shared" si="6"/>
        <v/>
      </c>
      <c r="M20" s="161" t="str">
        <f t="shared" si="6"/>
        <v/>
      </c>
      <c r="N20" s="161" t="str">
        <f t="shared" si="6"/>
        <v/>
      </c>
      <c r="O20" s="161" t="str">
        <f t="shared" si="6"/>
        <v/>
      </c>
    </row>
    <row r="21" spans="1:15" ht="15" customHeight="1">
      <c r="A21" s="144" t="s">
        <v>247</v>
      </c>
      <c r="B21" s="318"/>
      <c r="C21" s="186">
        <v>1</v>
      </c>
      <c r="D21" s="186">
        <v>3</v>
      </c>
      <c r="E21" s="236">
        <v>2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spans="1:15" ht="15" customHeight="1">
      <c r="A22" s="144" t="s">
        <v>248</v>
      </c>
      <c r="B22" s="319"/>
      <c r="C22" s="186">
        <v>102</v>
      </c>
      <c r="D22" s="186">
        <v>125</v>
      </c>
      <c r="E22" s="236">
        <v>116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1:15" s="157" customFormat="1" ht="15.6">
      <c r="A23" s="141" t="s">
        <v>249</v>
      </c>
      <c r="B23" s="314" t="s">
        <v>250</v>
      </c>
      <c r="C23" s="232">
        <v>7.9000000000000008E-3</v>
      </c>
      <c r="D23" s="232">
        <v>1.6299999999999999E-2</v>
      </c>
      <c r="E23" s="192" t="s">
        <v>251</v>
      </c>
      <c r="F23" s="154"/>
      <c r="G23" s="154"/>
      <c r="H23" s="154"/>
      <c r="I23" s="155"/>
      <c r="J23" s="155"/>
      <c r="K23" s="155"/>
      <c r="L23" s="155"/>
      <c r="M23" s="155"/>
      <c r="N23" s="155"/>
      <c r="O23" s="156"/>
    </row>
    <row r="24" spans="1:15" s="157" customFormat="1" ht="30.95">
      <c r="A24" s="158" t="s">
        <v>252</v>
      </c>
      <c r="B24" s="315"/>
      <c r="C24" s="10">
        <v>16</v>
      </c>
      <c r="D24" s="10">
        <v>30</v>
      </c>
      <c r="E24" s="192" t="s">
        <v>251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6"/>
    </row>
    <row r="25" spans="1:15" s="157" customFormat="1" ht="21.75" customHeight="1">
      <c r="A25" s="158" t="s">
        <v>253</v>
      </c>
      <c r="B25" s="315"/>
      <c r="C25" s="11">
        <v>2037</v>
      </c>
      <c r="D25" s="11">
        <v>1840</v>
      </c>
      <c r="E25" s="192" t="s">
        <v>251</v>
      </c>
      <c r="F25" s="145"/>
      <c r="G25" s="145"/>
      <c r="H25" s="145"/>
      <c r="I25" s="160"/>
      <c r="J25" s="160"/>
      <c r="K25" s="160"/>
      <c r="L25" s="160"/>
      <c r="M25" s="160"/>
      <c r="N25" s="160"/>
      <c r="O25" s="156"/>
    </row>
    <row r="26" spans="1:15" s="157" customFormat="1" ht="23.25" customHeight="1">
      <c r="A26" s="158" t="s">
        <v>254</v>
      </c>
      <c r="B26" s="315"/>
      <c r="C26" s="10">
        <v>124</v>
      </c>
      <c r="D26" s="10">
        <v>243</v>
      </c>
      <c r="E26" s="192" t="s">
        <v>251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6"/>
    </row>
    <row r="27" spans="1:15" s="157" customFormat="1" ht="24.75" customHeight="1">
      <c r="A27" s="158" t="s">
        <v>255</v>
      </c>
      <c r="B27" s="316"/>
      <c r="C27" s="11">
        <v>1913</v>
      </c>
      <c r="D27" s="11">
        <v>1597</v>
      </c>
      <c r="E27" s="192" t="s">
        <v>251</v>
      </c>
      <c r="F27" s="159"/>
      <c r="G27" s="159"/>
      <c r="H27" s="159"/>
      <c r="I27" s="159"/>
      <c r="J27" s="159"/>
      <c r="K27" s="159"/>
      <c r="L27" s="159"/>
      <c r="M27" s="159"/>
      <c r="N27" s="159"/>
      <c r="O27" s="156"/>
    </row>
    <row r="28" spans="1:15" ht="30.95">
      <c r="A28" s="141" t="s">
        <v>256</v>
      </c>
      <c r="B28" s="314" t="s">
        <v>257</v>
      </c>
      <c r="C28" s="227">
        <f>IF(C30="","",C29/C30)</f>
        <v>1.3582342954159592E-2</v>
      </c>
      <c r="D28" s="227">
        <f>IF(D30="","",D29/D30)</f>
        <v>3.0581039755351682E-3</v>
      </c>
      <c r="E28" s="238">
        <f>IF(E30="","",E29/E30)</f>
        <v>9.0909090909090905E-3</v>
      </c>
      <c r="F28" s="161" t="str">
        <f t="shared" ref="F28:I28" si="7">IF(F30="","",F29/F30)</f>
        <v/>
      </c>
      <c r="G28" s="161" t="str">
        <f t="shared" si="7"/>
        <v/>
      </c>
      <c r="H28" s="161" t="str">
        <f t="shared" si="7"/>
        <v/>
      </c>
      <c r="I28" s="161" t="str">
        <f t="shared" si="7"/>
        <v/>
      </c>
      <c r="J28" s="161" t="str">
        <f t="shared" ref="J28:O28" si="8">IF(J30="","",J29/J30)</f>
        <v/>
      </c>
      <c r="K28" s="142" t="str">
        <f t="shared" si="8"/>
        <v/>
      </c>
      <c r="L28" s="142" t="str">
        <f t="shared" si="8"/>
        <v/>
      </c>
      <c r="M28" s="142" t="str">
        <f t="shared" si="8"/>
        <v/>
      </c>
      <c r="N28" s="142" t="str">
        <f>IF(N30="","",N29/N30)</f>
        <v/>
      </c>
      <c r="O28" s="142" t="str">
        <f t="shared" si="8"/>
        <v/>
      </c>
    </row>
    <row r="29" spans="1:15" ht="20.25" customHeight="1">
      <c r="A29" s="144" t="s">
        <v>258</v>
      </c>
      <c r="B29" s="315"/>
      <c r="C29" s="186">
        <v>8</v>
      </c>
      <c r="D29" s="186">
        <v>2</v>
      </c>
      <c r="E29" s="236">
        <v>6</v>
      </c>
      <c r="F29" s="151"/>
      <c r="G29" s="151"/>
      <c r="H29" s="151"/>
      <c r="I29" s="151"/>
      <c r="J29" s="152"/>
      <c r="K29" s="151"/>
      <c r="L29" s="151"/>
      <c r="M29" s="151"/>
      <c r="N29" s="151"/>
      <c r="O29" s="151"/>
    </row>
    <row r="30" spans="1:15" ht="19.5" customHeight="1">
      <c r="A30" s="144" t="s">
        <v>259</v>
      </c>
      <c r="B30" s="316"/>
      <c r="C30" s="186">
        <v>589</v>
      </c>
      <c r="D30" s="186">
        <v>654</v>
      </c>
      <c r="E30" s="130">
        <v>660</v>
      </c>
      <c r="F30" s="151"/>
      <c r="G30" s="151"/>
      <c r="H30" s="151"/>
      <c r="I30" s="151"/>
      <c r="J30" s="151"/>
      <c r="K30" s="151"/>
      <c r="L30" s="151"/>
      <c r="N30" s="151"/>
      <c r="O30" s="151"/>
    </row>
    <row r="31" spans="1:15" ht="46.5">
      <c r="A31" s="141" t="s">
        <v>260</v>
      </c>
      <c r="B31" s="314" t="s">
        <v>261</v>
      </c>
      <c r="C31" s="81" t="s">
        <v>22</v>
      </c>
      <c r="D31" s="81" t="s">
        <v>22</v>
      </c>
      <c r="E31" s="81" t="s">
        <v>22</v>
      </c>
      <c r="F31" s="81" t="s">
        <v>22</v>
      </c>
      <c r="G31" s="81" t="s">
        <v>22</v>
      </c>
      <c r="H31" s="81" t="s">
        <v>22</v>
      </c>
      <c r="I31" s="81" t="s">
        <v>22</v>
      </c>
      <c r="J31" s="81" t="s">
        <v>22</v>
      </c>
      <c r="K31" s="81" t="s">
        <v>22</v>
      </c>
      <c r="L31" s="81" t="s">
        <v>22</v>
      </c>
      <c r="M31" s="81" t="s">
        <v>22</v>
      </c>
      <c r="N31" s="81" t="s">
        <v>22</v>
      </c>
      <c r="O31" s="81" t="s">
        <v>22</v>
      </c>
    </row>
    <row r="32" spans="1:15" ht="15" customHeight="1">
      <c r="A32" s="144" t="s">
        <v>262</v>
      </c>
      <c r="B32" s="315"/>
      <c r="C32" s="81" t="s">
        <v>22</v>
      </c>
      <c r="D32" s="81" t="s">
        <v>22</v>
      </c>
      <c r="E32" s="81" t="s">
        <v>22</v>
      </c>
      <c r="F32" s="81" t="s">
        <v>22</v>
      </c>
      <c r="G32" s="81" t="s">
        <v>22</v>
      </c>
      <c r="H32" s="81" t="s">
        <v>22</v>
      </c>
      <c r="I32" s="81" t="s">
        <v>22</v>
      </c>
      <c r="J32" s="81" t="s">
        <v>22</v>
      </c>
      <c r="K32" s="81" t="s">
        <v>22</v>
      </c>
      <c r="L32" s="81" t="s">
        <v>22</v>
      </c>
      <c r="M32" s="81" t="s">
        <v>22</v>
      </c>
      <c r="N32" s="81" t="s">
        <v>22</v>
      </c>
      <c r="O32" s="81" t="s">
        <v>22</v>
      </c>
    </row>
    <row r="33" spans="1:15" ht="30.95">
      <c r="A33" s="144" t="s">
        <v>263</v>
      </c>
      <c r="B33" s="316"/>
      <c r="C33" s="81" t="s">
        <v>22</v>
      </c>
      <c r="D33" s="81" t="s">
        <v>22</v>
      </c>
      <c r="E33" s="81" t="s">
        <v>22</v>
      </c>
      <c r="F33" s="81" t="s">
        <v>22</v>
      </c>
      <c r="G33" s="81" t="s">
        <v>22</v>
      </c>
      <c r="H33" s="81" t="s">
        <v>22</v>
      </c>
      <c r="I33" s="81" t="s">
        <v>22</v>
      </c>
      <c r="J33" s="81" t="s">
        <v>22</v>
      </c>
      <c r="K33" s="81" t="s">
        <v>22</v>
      </c>
      <c r="L33" s="81" t="s">
        <v>22</v>
      </c>
      <c r="M33" s="81" t="s">
        <v>22</v>
      </c>
      <c r="N33" s="81" t="s">
        <v>22</v>
      </c>
      <c r="O33" s="81" t="s">
        <v>22</v>
      </c>
    </row>
    <row r="34" spans="1:15" ht="46.5">
      <c r="A34" s="141" t="s">
        <v>264</v>
      </c>
      <c r="B34" s="314" t="s">
        <v>265</v>
      </c>
      <c r="C34" s="212">
        <f t="shared" ref="C34:D34" si="9">IF(C36="","",C35/C36)</f>
        <v>2.8810408921933085E-2</v>
      </c>
      <c r="D34" s="212">
        <f t="shared" si="9"/>
        <v>2.865064695009242E-2</v>
      </c>
      <c r="E34" s="241">
        <f t="shared" ref="E34" si="10">IF(E36="","",E35/E36)</f>
        <v>5.3023255813953486E-2</v>
      </c>
      <c r="F34" s="164" t="str">
        <f t="shared" ref="F34" si="11">IF(F36="","",F35/F36)</f>
        <v/>
      </c>
      <c r="G34" s="164" t="str">
        <f t="shared" ref="G34" si="12">IF(G36="","",G35/G36)</f>
        <v/>
      </c>
      <c r="H34" s="164" t="str">
        <f t="shared" ref="H34" si="13">IF(H36="","",H35/H36)</f>
        <v/>
      </c>
      <c r="I34" s="164" t="str">
        <f t="shared" ref="I34" si="14">IF(I36="","",I35/I36)</f>
        <v/>
      </c>
      <c r="J34" s="164" t="str">
        <f t="shared" ref="J34" si="15">IF(J36="","",J35/J36)</f>
        <v/>
      </c>
      <c r="K34" s="164" t="str">
        <f t="shared" ref="K34" si="16">IF(K36="","",K35/K36)</f>
        <v/>
      </c>
      <c r="L34" s="164" t="str">
        <f t="shared" ref="L34" si="17">IF(L36="","",L35/L36)</f>
        <v/>
      </c>
      <c r="M34" s="164" t="str">
        <f t="shared" ref="M34" si="18">IF(M36="","",M35/M36)</f>
        <v/>
      </c>
      <c r="N34" s="164" t="str">
        <f t="shared" ref="N34" si="19">IF(N36="","",N35/N36)</f>
        <v/>
      </c>
      <c r="O34" s="164" t="str">
        <f t="shared" ref="O34" si="20">IF(O36="","",O35/O36)</f>
        <v/>
      </c>
    </row>
    <row r="35" spans="1:15" ht="21.75" customHeight="1">
      <c r="A35" s="144" t="s">
        <v>262</v>
      </c>
      <c r="B35" s="315"/>
      <c r="C35" s="186">
        <v>31</v>
      </c>
      <c r="D35" s="186">
        <v>31</v>
      </c>
      <c r="E35" s="234">
        <v>57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1:15" ht="33" customHeight="1">
      <c r="A36" s="144" t="s">
        <v>263</v>
      </c>
      <c r="B36" s="316"/>
      <c r="C36" s="188">
        <v>1076</v>
      </c>
      <c r="D36" s="188">
        <v>1082</v>
      </c>
      <c r="E36" s="235">
        <v>1075</v>
      </c>
      <c r="F36" s="151"/>
      <c r="G36" s="151"/>
      <c r="H36" s="151"/>
      <c r="I36" s="151"/>
      <c r="J36" s="151"/>
      <c r="K36" s="151"/>
      <c r="L36" s="151"/>
      <c r="M36" s="151"/>
      <c r="N36" s="151"/>
      <c r="O36" s="151"/>
    </row>
    <row r="37" spans="1:15" ht="17.25" customHeight="1">
      <c r="A37" s="141" t="s">
        <v>266</v>
      </c>
      <c r="B37" s="314">
        <v>1</v>
      </c>
      <c r="C37" s="216">
        <f t="shared" ref="C37:E37" si="21">IF(C39="","",C38/C39)</f>
        <v>0.98156862745098039</v>
      </c>
      <c r="D37" s="216">
        <f t="shared" si="21"/>
        <v>1.2056862745098038</v>
      </c>
      <c r="E37" s="216">
        <f t="shared" si="21"/>
        <v>1.0705882352941176</v>
      </c>
      <c r="F37" s="164" t="str">
        <f t="shared" ref="F37" si="22">IF(F39="","",F38/F39)</f>
        <v/>
      </c>
      <c r="G37" s="164" t="str">
        <f t="shared" ref="G37" si="23">IF(G39="","",G38/G39)</f>
        <v/>
      </c>
      <c r="H37" s="164" t="str">
        <f t="shared" ref="H37" si="24">IF(H39="","",H38/H39)</f>
        <v/>
      </c>
      <c r="I37" s="164" t="str">
        <f t="shared" ref="I37" si="25">IF(I39="","",I38/I39)</f>
        <v/>
      </c>
      <c r="J37" s="164" t="str">
        <f t="shared" ref="J37" si="26">IF(J39="","",J38/J39)</f>
        <v/>
      </c>
      <c r="K37" s="164" t="str">
        <f t="shared" ref="K37" si="27">IF(K39="","",K38/K39)</f>
        <v/>
      </c>
      <c r="L37" s="164" t="str">
        <f t="shared" ref="L37" si="28">IF(L39="","",L38/L39)</f>
        <v/>
      </c>
      <c r="M37" s="164" t="str">
        <f t="shared" ref="M37" si="29">IF(M39="","",M38/M39)</f>
        <v/>
      </c>
      <c r="N37" s="164" t="str">
        <f t="shared" ref="N37" si="30">IF(N39="","",N38/N39)</f>
        <v/>
      </c>
      <c r="O37" s="164" t="str">
        <f t="shared" ref="O37" si="31">IF(O39="","",O38/O39)</f>
        <v/>
      </c>
    </row>
    <row r="38" spans="1:15" ht="23.25" customHeight="1">
      <c r="A38" s="163" t="s">
        <v>267</v>
      </c>
      <c r="B38" s="315"/>
      <c r="C38" s="188">
        <v>5006</v>
      </c>
      <c r="D38" s="188">
        <f>4358+1791</f>
        <v>6149</v>
      </c>
      <c r="E38" s="188">
        <f>3867+1593</f>
        <v>5460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pans="1:15" ht="20.25" customHeight="1">
      <c r="A39" s="163" t="s">
        <v>268</v>
      </c>
      <c r="B39" s="316"/>
      <c r="C39" s="186">
        <v>5100</v>
      </c>
      <c r="D39" s="186">
        <v>5100</v>
      </c>
      <c r="E39" s="186">
        <v>5100</v>
      </c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pans="1:15" ht="30.95">
      <c r="A40" s="141" t="s">
        <v>269</v>
      </c>
      <c r="B40" s="314" t="s">
        <v>270</v>
      </c>
      <c r="C40" s="193">
        <f t="shared" ref="C40:D40" si="32">IF(C42="","",C41/C42)</f>
        <v>1</v>
      </c>
      <c r="D40" s="193">
        <f t="shared" si="32"/>
        <v>1</v>
      </c>
      <c r="E40" s="193">
        <f t="shared" ref="E40" si="33">IF(E42="","",E41/E42)</f>
        <v>1</v>
      </c>
      <c r="F40" s="164" t="str">
        <f t="shared" ref="F40" si="34">IF(F42="","",F41/F42)</f>
        <v/>
      </c>
      <c r="G40" s="164" t="str">
        <f t="shared" ref="G40" si="35">IF(G42="","",G41/G42)</f>
        <v/>
      </c>
      <c r="H40" s="164" t="str">
        <f t="shared" ref="H40" si="36">IF(H42="","",H41/H42)</f>
        <v/>
      </c>
      <c r="I40" s="164" t="str">
        <f t="shared" ref="I40" si="37">IF(I42="","",I41/I42)</f>
        <v/>
      </c>
      <c r="J40" s="164" t="str">
        <f t="shared" ref="J40" si="38">IF(J42="","",J41/J42)</f>
        <v/>
      </c>
      <c r="K40" s="164" t="str">
        <f t="shared" ref="K40" si="39">IF(K42="","",K41/K42)</f>
        <v/>
      </c>
      <c r="L40" s="164" t="str">
        <f t="shared" ref="L40" si="40">IF(L42="","",L41/L42)</f>
        <v/>
      </c>
      <c r="M40" s="164" t="str">
        <f t="shared" ref="M40" si="41">IF(M42="","",M41/M42)</f>
        <v/>
      </c>
      <c r="N40" s="164" t="str">
        <f t="shared" ref="N40" si="42">IF(N42="","",N41/N42)</f>
        <v/>
      </c>
      <c r="O40" s="164" t="str">
        <f t="shared" ref="O40" si="43">IF(O42="","",O41/O42)</f>
        <v/>
      </c>
    </row>
    <row r="41" spans="1:15" ht="21" customHeight="1">
      <c r="A41" s="144" t="s">
        <v>271</v>
      </c>
      <c r="B41" s="315"/>
      <c r="C41" s="188">
        <v>13828</v>
      </c>
      <c r="D41" s="188">
        <v>12468</v>
      </c>
      <c r="E41" s="188">
        <v>11338</v>
      </c>
      <c r="F41" s="151"/>
      <c r="G41" s="151"/>
      <c r="H41" s="151"/>
      <c r="I41" s="151"/>
      <c r="J41" s="151"/>
      <c r="K41" s="151"/>
      <c r="L41" s="151"/>
      <c r="M41" s="151"/>
      <c r="N41" s="151"/>
      <c r="O41" s="151"/>
    </row>
    <row r="42" spans="1:15" ht="29.45" customHeight="1">
      <c r="A42" s="144" t="s">
        <v>272</v>
      </c>
      <c r="B42" s="316"/>
      <c r="C42" s="188">
        <v>13828</v>
      </c>
      <c r="D42" s="188">
        <v>12468</v>
      </c>
      <c r="E42" s="188">
        <v>11338</v>
      </c>
      <c r="F42" s="151"/>
      <c r="G42" s="151"/>
      <c r="H42" s="151"/>
      <c r="I42" s="151"/>
      <c r="J42" s="151"/>
      <c r="K42" s="151"/>
      <c r="L42" s="151"/>
      <c r="M42" s="151"/>
      <c r="N42" s="151"/>
      <c r="O42" s="151"/>
    </row>
    <row r="43" spans="1:15" ht="46.5">
      <c r="A43" s="141" t="s">
        <v>273</v>
      </c>
      <c r="B43" s="314" t="s">
        <v>274</v>
      </c>
      <c r="C43" s="212">
        <f t="shared" ref="C43:D43" si="44">IF(C45="","",C44/C45)</f>
        <v>0.96399999999999997</v>
      </c>
      <c r="D43" s="212">
        <f t="shared" si="44"/>
        <v>0.98039215686274506</v>
      </c>
      <c r="E43" s="212">
        <f t="shared" ref="E43" si="45">IF(E45="","",E44/E45)</f>
        <v>0.97289972899728994</v>
      </c>
      <c r="F43" s="164" t="str">
        <f t="shared" ref="F43" si="46">IF(F45="","",F44/F45)</f>
        <v/>
      </c>
      <c r="G43" s="164" t="str">
        <f t="shared" ref="G43" si="47">IF(G45="","",G44/G45)</f>
        <v/>
      </c>
      <c r="H43" s="164" t="str">
        <f t="shared" ref="H43" si="48">IF(H45="","",H44/H45)</f>
        <v/>
      </c>
      <c r="I43" s="164" t="str">
        <f t="shared" ref="I43" si="49">IF(I45="","",I44/I45)</f>
        <v/>
      </c>
      <c r="J43" s="164" t="str">
        <f t="shared" ref="J43" si="50">IF(J45="","",J44/J45)</f>
        <v/>
      </c>
      <c r="K43" s="164" t="str">
        <f t="shared" ref="K43" si="51">IF(K45="","",K44/K45)</f>
        <v/>
      </c>
      <c r="L43" s="164" t="str">
        <f t="shared" ref="L43" si="52">IF(L45="","",L44/L45)</f>
        <v/>
      </c>
      <c r="M43" s="164" t="str">
        <f t="shared" ref="M43" si="53">IF(M45="","",M44/M45)</f>
        <v/>
      </c>
      <c r="N43" s="164" t="str">
        <f t="shared" ref="N43" si="54">IF(N45="","",N44/N45)</f>
        <v/>
      </c>
      <c r="O43" s="164" t="str">
        <f t="shared" ref="O43" si="55">IF(O45="","",O44/O45)</f>
        <v/>
      </c>
    </row>
    <row r="44" spans="1:15" ht="36" customHeight="1">
      <c r="A44" s="153" t="s">
        <v>275</v>
      </c>
      <c r="B44" s="315"/>
      <c r="C44" s="186">
        <v>482</v>
      </c>
      <c r="D44" s="186">
        <v>500</v>
      </c>
      <c r="E44" s="236">
        <v>359</v>
      </c>
      <c r="F44" s="151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1:15" ht="30" customHeight="1">
      <c r="A45" s="144" t="s">
        <v>276</v>
      </c>
      <c r="B45" s="316"/>
      <c r="C45" s="186">
        <v>500</v>
      </c>
      <c r="D45" s="186">
        <v>510</v>
      </c>
      <c r="E45" s="236">
        <v>369</v>
      </c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pans="1:15" ht="46.5">
      <c r="A46" s="141" t="s">
        <v>277</v>
      </c>
      <c r="B46" s="314" t="s">
        <v>274</v>
      </c>
      <c r="C46" s="193">
        <f t="shared" ref="C46:F46" si="56">IF(C48="","",C47/C48)</f>
        <v>1</v>
      </c>
      <c r="D46" s="193">
        <f t="shared" si="56"/>
        <v>1</v>
      </c>
      <c r="E46" s="193">
        <f t="shared" si="56"/>
        <v>1</v>
      </c>
      <c r="F46" s="164" t="str">
        <f t="shared" si="56"/>
        <v/>
      </c>
      <c r="G46" s="164" t="str">
        <f>IF(G48="","",G47/G48)</f>
        <v/>
      </c>
      <c r="H46" s="164" t="str">
        <f>IF(H48="","",H47/H48)</f>
        <v/>
      </c>
      <c r="I46" s="164" t="str">
        <f>IF(I48="","",I47/I48)</f>
        <v/>
      </c>
      <c r="J46" s="164" t="str">
        <f>IF(J48="","",J47/J48)</f>
        <v/>
      </c>
      <c r="K46" s="164" t="str">
        <f t="shared" ref="K46:O46" si="57">IF(K48="","",K47/K48)</f>
        <v/>
      </c>
      <c r="L46" s="164" t="str">
        <f t="shared" si="57"/>
        <v/>
      </c>
      <c r="M46" s="164" t="str">
        <f t="shared" si="57"/>
        <v/>
      </c>
      <c r="N46" s="164" t="str">
        <f t="shared" si="57"/>
        <v/>
      </c>
      <c r="O46" s="164" t="str">
        <f t="shared" si="57"/>
        <v/>
      </c>
    </row>
    <row r="47" spans="1:15" ht="35.25" customHeight="1">
      <c r="A47" s="153" t="s">
        <v>278</v>
      </c>
      <c r="B47" s="315"/>
      <c r="C47" s="186">
        <v>482</v>
      </c>
      <c r="D47" s="186">
        <v>510</v>
      </c>
      <c r="E47" s="236">
        <v>369</v>
      </c>
      <c r="F47" s="151"/>
      <c r="G47" s="151"/>
      <c r="H47" s="151"/>
      <c r="I47" s="151"/>
      <c r="J47" s="152"/>
      <c r="K47" s="151"/>
      <c r="L47" s="165"/>
      <c r="M47" s="151"/>
      <c r="N47" s="152"/>
      <c r="O47" s="151"/>
    </row>
    <row r="48" spans="1:15" ht="24" customHeight="1">
      <c r="A48" s="153" t="s">
        <v>279</v>
      </c>
      <c r="B48" s="316"/>
      <c r="C48" s="186">
        <v>482</v>
      </c>
      <c r="D48" s="186">
        <v>510</v>
      </c>
      <c r="E48" s="236">
        <v>369</v>
      </c>
      <c r="F48" s="151"/>
      <c r="G48" s="151"/>
      <c r="H48" s="151"/>
      <c r="I48" s="151"/>
      <c r="J48" s="152"/>
      <c r="K48" s="151"/>
      <c r="L48" s="165"/>
      <c r="M48" s="151"/>
      <c r="N48" s="152"/>
      <c r="O48" s="151"/>
    </row>
    <row r="49" spans="1:15" ht="30.95">
      <c r="A49" s="141" t="s">
        <v>280</v>
      </c>
      <c r="B49" s="314" t="s">
        <v>281</v>
      </c>
      <c r="C49" s="212">
        <f>IF(C51="","",C50/C51)</f>
        <v>9.0706932485340607E-5</v>
      </c>
      <c r="D49" s="212">
        <f>IF(D51="","",D50/D51)</f>
        <v>5.4999883181319738E-3</v>
      </c>
      <c r="E49" s="212">
        <f>IF(E51="","",E50/E51)</f>
        <v>6.5415559588576165E-4</v>
      </c>
      <c r="F49" s="166" t="str">
        <f t="shared" ref="F49" si="58">IF(F51="","",F50/F51)</f>
        <v/>
      </c>
      <c r="G49" s="166" t="str">
        <f t="shared" ref="G49" si="59">IF(G51="","",G50/G51)</f>
        <v/>
      </c>
      <c r="H49" s="166" t="str">
        <f t="shared" ref="H49" si="60">IF(H51="","",H50/H51)</f>
        <v/>
      </c>
      <c r="I49" s="166" t="str">
        <f t="shared" ref="I49" si="61">IF(I51="","",I50/I51)</f>
        <v/>
      </c>
      <c r="J49" s="166" t="str">
        <f t="shared" ref="J49" si="62">IF(J51="","",J50/J51)</f>
        <v/>
      </c>
      <c r="K49" s="166" t="str">
        <f t="shared" ref="K49" si="63">IF(K51="","",K50/K51)</f>
        <v/>
      </c>
      <c r="L49" s="166" t="str">
        <f t="shared" ref="L49" si="64">IF(L51="","",L50/L51)</f>
        <v/>
      </c>
      <c r="M49" s="166" t="str">
        <f t="shared" ref="M49" si="65">IF(M51="","",M50/M51)</f>
        <v/>
      </c>
      <c r="N49" s="166" t="str">
        <f t="shared" ref="N49" si="66">IF(N51="","",N50/N51)</f>
        <v/>
      </c>
      <c r="O49" s="166" t="str">
        <f t="shared" ref="O49" si="67">IF(O51="","",O50/O51)</f>
        <v/>
      </c>
    </row>
    <row r="50" spans="1:15" ht="30.95">
      <c r="A50" s="158" t="s">
        <v>282</v>
      </c>
      <c r="B50" s="315"/>
      <c r="C50" s="211">
        <v>462.2</v>
      </c>
      <c r="D50" s="211">
        <v>28025.21</v>
      </c>
      <c r="E50" s="211">
        <v>3005.24</v>
      </c>
      <c r="F50" s="167"/>
      <c r="G50" s="167"/>
      <c r="H50" s="167"/>
      <c r="I50" s="167"/>
      <c r="J50" s="167"/>
      <c r="K50" s="167"/>
      <c r="L50" s="167"/>
      <c r="M50" s="167"/>
      <c r="N50" s="167"/>
      <c r="O50" s="167"/>
    </row>
    <row r="51" spans="1:15" ht="20.25" customHeight="1">
      <c r="A51" s="158" t="s">
        <v>283</v>
      </c>
      <c r="B51" s="316"/>
      <c r="C51" s="211">
        <v>5095531.1500000004</v>
      </c>
      <c r="D51" s="211">
        <v>5095503.55</v>
      </c>
      <c r="E51" s="211">
        <v>4594075.2</v>
      </c>
      <c r="F51" s="168"/>
      <c r="G51" s="168"/>
      <c r="H51" s="168"/>
      <c r="I51" s="168"/>
      <c r="J51" s="168"/>
      <c r="K51" s="168"/>
      <c r="L51" s="168"/>
      <c r="M51" s="168"/>
      <c r="N51" s="168"/>
      <c r="O51" s="168"/>
    </row>
    <row r="52" spans="1:15" ht="15.6">
      <c r="A52" s="141" t="s">
        <v>284</v>
      </c>
      <c r="B52" s="314" t="s">
        <v>285</v>
      </c>
      <c r="C52" s="194">
        <f t="shared" ref="C52:D52" si="68">IF(C54="","",C53/C54)</f>
        <v>0.93084112149532705</v>
      </c>
      <c r="D52" s="194">
        <f t="shared" si="68"/>
        <v>0.92897196261682247</v>
      </c>
      <c r="E52" s="194">
        <f t="shared" ref="E52" si="69">IF(E54="","",E53/E54)</f>
        <v>0.95045871559633033</v>
      </c>
      <c r="F52" s="166" t="str">
        <f t="shared" ref="F52" si="70">IF(F54="","",F53/F54)</f>
        <v/>
      </c>
      <c r="G52" s="166" t="str">
        <f t="shared" ref="G52" si="71">IF(G54="","",G53/G54)</f>
        <v/>
      </c>
      <c r="H52" s="166" t="str">
        <f t="shared" ref="H52" si="72">IF(H54="","",H53/H54)</f>
        <v/>
      </c>
      <c r="I52" s="166" t="str">
        <f t="shared" ref="I52" si="73">IF(I54="","",I53/I54)</f>
        <v/>
      </c>
      <c r="J52" s="166" t="str">
        <f t="shared" ref="J52" si="74">IF(J54="","",J53/J54)</f>
        <v/>
      </c>
      <c r="K52" s="166" t="str">
        <f t="shared" ref="K52" si="75">IF(K54="","",K53/K54)</f>
        <v/>
      </c>
      <c r="L52" s="166" t="str">
        <f t="shared" ref="L52" si="76">IF(L54="","",L53/L54)</f>
        <v/>
      </c>
      <c r="M52" s="166" t="str">
        <f t="shared" ref="M52" si="77">IF(M54="","",M53/M54)</f>
        <v/>
      </c>
      <c r="N52" s="166" t="str">
        <f t="shared" ref="N52" si="78">IF(N54="","",N53/N54)</f>
        <v/>
      </c>
      <c r="O52" s="166" t="str">
        <f t="shared" ref="O52" si="79">IF(O54="","",O53/O54)</f>
        <v/>
      </c>
    </row>
    <row r="53" spans="1:15" ht="30.95">
      <c r="A53" s="158" t="s">
        <v>286</v>
      </c>
      <c r="B53" s="315"/>
      <c r="C53" s="195">
        <v>498</v>
      </c>
      <c r="D53" s="195">
        <v>497</v>
      </c>
      <c r="E53" s="195">
        <v>518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7"/>
    </row>
    <row r="54" spans="1:15" ht="17.25" customHeight="1">
      <c r="A54" s="158" t="s">
        <v>287</v>
      </c>
      <c r="B54" s="316"/>
      <c r="C54" s="196">
        <v>535</v>
      </c>
      <c r="D54" s="196">
        <v>535</v>
      </c>
      <c r="E54" s="196">
        <v>545</v>
      </c>
      <c r="F54" s="168"/>
      <c r="G54" s="168"/>
      <c r="H54" s="168"/>
      <c r="I54" s="168"/>
      <c r="J54" s="168"/>
      <c r="K54" s="168"/>
      <c r="L54" s="168"/>
      <c r="M54" s="168"/>
      <c r="N54" s="168"/>
      <c r="O54" s="168"/>
    </row>
    <row r="55" spans="1:15" ht="20.25" customHeight="1">
      <c r="A55" s="141" t="s">
        <v>288</v>
      </c>
      <c r="B55" s="320" t="s">
        <v>289</v>
      </c>
      <c r="C55" s="194">
        <f>IF(C56="","",C56/C57)</f>
        <v>0.98237885462555063</v>
      </c>
      <c r="D55" s="194">
        <f>IF(D56="","",D56/D57)</f>
        <v>0.96602972399150744</v>
      </c>
      <c r="E55" s="194">
        <f t="shared" ref="E55:F55" si="80">IF(E57="","",E56/E57)</f>
        <v>0.98773006134969321</v>
      </c>
      <c r="F55" s="166" t="str">
        <f t="shared" si="80"/>
        <v/>
      </c>
      <c r="G55" s="166" t="str">
        <f>IF(G57="","",G56/G57)</f>
        <v/>
      </c>
      <c r="H55" s="166" t="str">
        <f t="shared" ref="H55" si="81">IF(H57="","",H56/H57)</f>
        <v/>
      </c>
      <c r="I55" s="166" t="str">
        <f t="shared" ref="I55" si="82">IF(I57="","",I56/I57)</f>
        <v/>
      </c>
      <c r="J55" s="166" t="str">
        <f t="shared" ref="J55:K55" si="83">IF(J57="","",J56/J57)</f>
        <v/>
      </c>
      <c r="K55" s="166" t="str">
        <f t="shared" si="83"/>
        <v/>
      </c>
      <c r="L55" s="166" t="str">
        <f t="shared" ref="L55" si="84">IF(L57="","",L56/L57)</f>
        <v/>
      </c>
      <c r="M55" s="166" t="str">
        <f t="shared" ref="M55" si="85">IF(M57="","",M56/M57)</f>
        <v/>
      </c>
      <c r="N55" s="166" t="str">
        <f t="shared" ref="N55:O55" si="86">IF(N57="","",N56/N57)</f>
        <v/>
      </c>
      <c r="O55" s="166" t="str">
        <f t="shared" si="86"/>
        <v/>
      </c>
    </row>
    <row r="56" spans="1:15" ht="18.75" customHeight="1">
      <c r="A56" s="153" t="s">
        <v>290</v>
      </c>
      <c r="B56" s="320"/>
      <c r="C56" s="196">
        <v>446</v>
      </c>
      <c r="D56" s="196">
        <v>455</v>
      </c>
      <c r="E56" s="195">
        <v>322</v>
      </c>
      <c r="F56" s="167"/>
      <c r="G56" s="167"/>
      <c r="H56" s="167"/>
      <c r="I56" s="167"/>
      <c r="J56" s="167"/>
      <c r="K56" s="167"/>
      <c r="L56" s="167"/>
      <c r="M56" s="167"/>
      <c r="N56" s="167"/>
      <c r="O56" s="167"/>
    </row>
    <row r="57" spans="1:15" ht="30.95">
      <c r="A57" s="153" t="s">
        <v>291</v>
      </c>
      <c r="B57" s="320"/>
      <c r="C57" s="186">
        <v>454</v>
      </c>
      <c r="D57" s="186">
        <v>471</v>
      </c>
      <c r="E57" s="196">
        <v>326</v>
      </c>
      <c r="F57" s="168"/>
      <c r="G57" s="168"/>
      <c r="H57" s="168"/>
      <c r="I57" s="168"/>
      <c r="J57" s="168"/>
      <c r="K57" s="168"/>
      <c r="L57" s="168"/>
      <c r="M57" s="168"/>
      <c r="N57" s="168"/>
      <c r="O57" s="168"/>
    </row>
    <row r="58" spans="1:15" ht="15.6">
      <c r="A58" s="206"/>
      <c r="B58" s="208"/>
      <c r="C58" s="208"/>
      <c r="D58" s="209"/>
      <c r="E58" s="209"/>
      <c r="F58" s="207"/>
      <c r="G58" s="207"/>
      <c r="H58" s="207"/>
      <c r="I58" s="207"/>
      <c r="J58" s="207"/>
      <c r="K58" s="207"/>
      <c r="L58" s="207"/>
      <c r="M58" s="207"/>
      <c r="N58" s="207"/>
      <c r="O58" s="207"/>
    </row>
    <row r="59" spans="1:15" ht="15.6" customHeight="1">
      <c r="A59" s="204"/>
      <c r="B59" s="178"/>
      <c r="C59" s="178"/>
      <c r="D59" s="178"/>
      <c r="E59" s="178"/>
      <c r="F59" s="178" t="s">
        <v>116</v>
      </c>
      <c r="G59" s="178"/>
      <c r="H59" s="178"/>
      <c r="J59" s="179"/>
      <c r="K59" s="204"/>
      <c r="L59" s="205"/>
      <c r="M59" s="205"/>
      <c r="N59" s="205"/>
      <c r="O59" s="205"/>
    </row>
    <row r="60" spans="1:15" ht="15.6" customHeight="1">
      <c r="A60" s="204"/>
      <c r="B60" s="117"/>
      <c r="C60" s="117"/>
      <c r="D60" s="117"/>
      <c r="E60" s="117"/>
      <c r="F60" s="117"/>
      <c r="G60" s="117"/>
      <c r="H60" s="117"/>
      <c r="I60" s="117"/>
      <c r="J60" s="117"/>
      <c r="K60" s="204"/>
      <c r="L60" s="205"/>
      <c r="M60" s="205"/>
      <c r="N60" s="205"/>
      <c r="O60" s="205"/>
    </row>
    <row r="61" spans="1:15" ht="15.6" customHeight="1">
      <c r="A61" s="204"/>
      <c r="B61" s="117"/>
      <c r="C61" s="117"/>
      <c r="D61" s="117"/>
      <c r="E61" s="117"/>
      <c r="F61" s="117"/>
      <c r="G61" s="117"/>
      <c r="H61" s="117"/>
      <c r="I61" s="117"/>
      <c r="J61" s="117"/>
      <c r="K61" s="204"/>
      <c r="L61" s="205"/>
      <c r="M61" s="205"/>
      <c r="N61" s="205"/>
      <c r="O61" s="205"/>
    </row>
    <row r="62" spans="1:15" ht="15.6" customHeight="1">
      <c r="A62" s="204"/>
      <c r="B62" s="117"/>
      <c r="C62" s="117"/>
      <c r="D62" s="117"/>
      <c r="E62" s="117"/>
      <c r="F62" s="117"/>
      <c r="G62" s="117"/>
      <c r="H62" s="117"/>
      <c r="I62" s="117"/>
      <c r="J62" s="117"/>
      <c r="K62" s="204"/>
      <c r="L62" s="205"/>
      <c r="M62" s="205"/>
      <c r="N62" s="205"/>
      <c r="O62" s="205"/>
    </row>
    <row r="63" spans="1:15" ht="15.6" customHeight="1">
      <c r="A63" s="204"/>
      <c r="B63" s="117"/>
      <c r="C63" s="117"/>
      <c r="D63" s="117"/>
      <c r="E63" s="117"/>
      <c r="F63" s="117"/>
      <c r="G63" s="117"/>
      <c r="H63" s="117"/>
      <c r="I63" s="117"/>
      <c r="J63" s="117"/>
      <c r="K63" s="204"/>
      <c r="L63" s="205"/>
      <c r="M63" s="205"/>
      <c r="N63" s="205"/>
      <c r="O63" s="205"/>
    </row>
    <row r="64" spans="1:15" ht="15.95" customHeight="1">
      <c r="A64" s="204"/>
      <c r="B64" s="117"/>
      <c r="C64" s="230"/>
      <c r="D64" s="210"/>
      <c r="E64" s="210"/>
      <c r="F64" s="210"/>
      <c r="G64" s="210"/>
      <c r="H64" s="210"/>
      <c r="I64" s="210"/>
      <c r="J64" s="117"/>
      <c r="K64" s="204"/>
      <c r="L64" s="205"/>
      <c r="M64" s="205"/>
      <c r="N64" s="205"/>
      <c r="O64" s="205"/>
    </row>
    <row r="65" spans="1:15" ht="15.6" customHeight="1">
      <c r="A65" s="204"/>
      <c r="B65" s="244" t="s">
        <v>117</v>
      </c>
      <c r="C65" s="245"/>
      <c r="D65" s="245"/>
      <c r="E65" s="245"/>
      <c r="F65" s="245"/>
      <c r="G65" s="245"/>
      <c r="H65" s="245"/>
      <c r="I65" s="245"/>
      <c r="J65" s="244"/>
      <c r="K65" s="204"/>
      <c r="L65" s="205"/>
      <c r="M65" s="205"/>
      <c r="N65" s="205"/>
      <c r="O65" s="205"/>
    </row>
    <row r="66" spans="1:15" ht="15.6" customHeight="1">
      <c r="A66" s="204"/>
      <c r="B66" s="244" t="s">
        <v>118</v>
      </c>
      <c r="C66" s="244"/>
      <c r="D66" s="244"/>
      <c r="E66" s="244"/>
      <c r="F66" s="244"/>
      <c r="G66" s="244"/>
      <c r="H66" s="244"/>
      <c r="I66" s="244"/>
      <c r="J66" s="244"/>
      <c r="K66" s="204"/>
      <c r="L66" s="205"/>
      <c r="M66" s="205"/>
      <c r="N66" s="205"/>
      <c r="O66" s="205"/>
    </row>
    <row r="67" spans="1:15" ht="15.6" customHeight="1">
      <c r="A67" s="204"/>
      <c r="B67" s="244" t="s">
        <v>119</v>
      </c>
      <c r="C67" s="244"/>
      <c r="D67" s="244"/>
      <c r="E67" s="244"/>
      <c r="F67" s="244"/>
      <c r="G67" s="244"/>
      <c r="H67" s="244"/>
      <c r="I67" s="244"/>
      <c r="J67" s="244"/>
      <c r="K67" s="204"/>
      <c r="L67" s="205"/>
      <c r="M67" s="205"/>
      <c r="N67" s="205"/>
      <c r="O67" s="205"/>
    </row>
  </sheetData>
  <mergeCells count="21">
    <mergeCell ref="B37:B39"/>
    <mergeCell ref="B46:B48"/>
    <mergeCell ref="B49:B51"/>
    <mergeCell ref="B52:B54"/>
    <mergeCell ref="B55:B57"/>
    <mergeCell ref="A5:O5"/>
    <mergeCell ref="A6:O6"/>
    <mergeCell ref="B65:J65"/>
    <mergeCell ref="B66:J66"/>
    <mergeCell ref="B67:J67"/>
    <mergeCell ref="B40:B42"/>
    <mergeCell ref="B43:B45"/>
    <mergeCell ref="B8:B10"/>
    <mergeCell ref="B11:B13"/>
    <mergeCell ref="B14:B16"/>
    <mergeCell ref="B17:B19"/>
    <mergeCell ref="B20:B22"/>
    <mergeCell ref="B23:B27"/>
    <mergeCell ref="B28:B30"/>
    <mergeCell ref="B31:B33"/>
    <mergeCell ref="B34:B36"/>
  </mergeCells>
  <phoneticPr fontId="46" type="noConversion"/>
  <pageMargins left="0.25" right="0.25" top="0.75" bottom="0.75" header="0.3" footer="0.3"/>
  <pageSetup paperSize="9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45"/>
  <cols>
    <col min="1" max="1" width="24.42578125" customWidth="1"/>
    <col min="2" max="5" width="16.7109375" customWidth="1"/>
    <col min="6" max="6" width="18.140625" bestFit="1" customWidth="1"/>
    <col min="7" max="8" width="16.7109375" customWidth="1"/>
    <col min="9" max="9" width="10.140625" bestFit="1" customWidth="1"/>
  </cols>
  <sheetData>
    <row r="1" spans="1:11" ht="39">
      <c r="A1" s="1" t="s">
        <v>74</v>
      </c>
      <c r="B1" s="45" t="s">
        <v>229</v>
      </c>
      <c r="C1" s="45" t="s">
        <v>292</v>
      </c>
      <c r="D1" s="45" t="s">
        <v>293</v>
      </c>
      <c r="E1" s="44" t="s">
        <v>294</v>
      </c>
      <c r="H1" s="101" t="s">
        <v>295</v>
      </c>
      <c r="I1" s="101" t="s">
        <v>296</v>
      </c>
    </row>
    <row r="2" spans="1:11" ht="15.6">
      <c r="A2" s="21"/>
      <c r="B2" s="26">
        <v>100</v>
      </c>
      <c r="C2" s="26">
        <v>19</v>
      </c>
      <c r="D2" s="26" t="s">
        <v>297</v>
      </c>
      <c r="E2" s="100">
        <v>40</v>
      </c>
      <c r="H2" s="101">
        <v>31</v>
      </c>
      <c r="I2" s="101"/>
    </row>
    <row r="3" spans="1:11" ht="15.6">
      <c r="A3" s="21" t="s">
        <v>76</v>
      </c>
      <c r="B3" s="26">
        <v>80</v>
      </c>
      <c r="C3" s="26">
        <v>15</v>
      </c>
      <c r="D3" s="26" t="s">
        <v>298</v>
      </c>
      <c r="E3" s="21">
        <v>109</v>
      </c>
      <c r="H3" s="101"/>
      <c r="I3" s="101"/>
    </row>
    <row r="4" spans="1:11" ht="30.95">
      <c r="A4" s="21" t="s">
        <v>77</v>
      </c>
      <c r="B4" s="26">
        <v>20</v>
      </c>
      <c r="C4" s="26">
        <v>0</v>
      </c>
      <c r="D4" s="26">
        <v>0</v>
      </c>
      <c r="E4" s="21">
        <v>0</v>
      </c>
      <c r="H4" s="101"/>
      <c r="I4" s="101"/>
    </row>
    <row r="5" spans="1:11" ht="46.5">
      <c r="A5" s="21" t="s">
        <v>78</v>
      </c>
      <c r="B5" s="26">
        <v>125</v>
      </c>
      <c r="C5" s="26">
        <v>133</v>
      </c>
      <c r="D5" s="26">
        <v>0</v>
      </c>
      <c r="E5" s="21">
        <v>133</v>
      </c>
      <c r="H5" s="101"/>
      <c r="I5" s="101"/>
    </row>
    <row r="6" spans="1:11" ht="15.6">
      <c r="A6" s="21" t="s">
        <v>79</v>
      </c>
      <c r="B6" s="26">
        <v>60</v>
      </c>
      <c r="C6" s="26">
        <v>46</v>
      </c>
      <c r="D6" s="26" t="s">
        <v>299</v>
      </c>
      <c r="E6" s="21">
        <v>84</v>
      </c>
      <c r="H6" s="101"/>
      <c r="I6" s="101"/>
    </row>
    <row r="7" spans="1:11" ht="30.95">
      <c r="A7" s="21" t="s">
        <v>80</v>
      </c>
      <c r="B7" s="26">
        <v>80</v>
      </c>
      <c r="C7" s="26">
        <v>78</v>
      </c>
      <c r="D7" s="26" t="s">
        <v>300</v>
      </c>
      <c r="E7" s="21">
        <v>129</v>
      </c>
      <c r="H7" s="101"/>
      <c r="I7" s="101"/>
    </row>
    <row r="8" spans="1:11" ht="15.6">
      <c r="A8" s="21" t="s">
        <v>81</v>
      </c>
      <c r="B8" s="26" t="s">
        <v>22</v>
      </c>
      <c r="C8" s="26" t="s">
        <v>22</v>
      </c>
      <c r="D8" s="26" t="s">
        <v>22</v>
      </c>
      <c r="E8" s="48" t="s">
        <v>22</v>
      </c>
      <c r="H8" s="101"/>
      <c r="I8" s="101"/>
    </row>
    <row r="9" spans="1:11" ht="15.6">
      <c r="A9" s="21" t="s">
        <v>82</v>
      </c>
      <c r="B9" s="26" t="s">
        <v>22</v>
      </c>
      <c r="C9" s="26" t="s">
        <v>22</v>
      </c>
      <c r="D9" s="26" t="s">
        <v>22</v>
      </c>
      <c r="E9" s="48" t="s">
        <v>22</v>
      </c>
      <c r="H9" s="101"/>
      <c r="I9" s="101"/>
      <c r="K9" s="114"/>
    </row>
    <row r="10" spans="1:11" ht="30.95">
      <c r="A10" s="21" t="s">
        <v>83</v>
      </c>
      <c r="B10" s="26" t="s">
        <v>22</v>
      </c>
      <c r="C10" s="26" t="s">
        <v>22</v>
      </c>
      <c r="D10" s="26" t="s">
        <v>22</v>
      </c>
      <c r="E10" s="48" t="s">
        <v>22</v>
      </c>
      <c r="H10" s="101"/>
      <c r="I10" s="101"/>
    </row>
    <row r="11" spans="1:11" ht="15.6">
      <c r="A11" s="21" t="s">
        <v>19</v>
      </c>
      <c r="B11" s="26">
        <f t="shared" ref="B11" si="0">SUM(B2:B7)</f>
        <v>465</v>
      </c>
      <c r="C11" s="26">
        <f>SUM(C2:C10)</f>
        <v>291</v>
      </c>
      <c r="D11" s="26"/>
      <c r="E11" s="48">
        <f>SUM(E2:E7)</f>
        <v>495</v>
      </c>
      <c r="H11" s="101"/>
      <c r="I11" s="101"/>
    </row>
    <row r="18" spans="1:12">
      <c r="L18" t="s">
        <v>301</v>
      </c>
    </row>
    <row r="19" spans="1:12">
      <c r="B19" s="104" t="s">
        <v>302</v>
      </c>
      <c r="C19" s="112" t="s">
        <v>303</v>
      </c>
      <c r="D19" s="104" t="s">
        <v>304</v>
      </c>
      <c r="E19" s="104" t="s">
        <v>305</v>
      </c>
      <c r="F19" s="104" t="s">
        <v>306</v>
      </c>
      <c r="G19" s="104" t="s">
        <v>307</v>
      </c>
      <c r="H19" s="105" t="s">
        <v>308</v>
      </c>
    </row>
    <row r="20" spans="1:12" ht="15.6">
      <c r="A20" s="115" t="s">
        <v>85</v>
      </c>
      <c r="B20" s="113">
        <v>40</v>
      </c>
      <c r="C20" s="110">
        <v>19</v>
      </c>
      <c r="D20" s="106">
        <v>19</v>
      </c>
      <c r="E20" s="107">
        <f>(C20-D20)/C20</f>
        <v>0</v>
      </c>
      <c r="F20" s="106">
        <v>8</v>
      </c>
      <c r="G20" s="106">
        <v>11</v>
      </c>
      <c r="H20" s="107">
        <f>(G20/D20)</f>
        <v>0.57894736842105265</v>
      </c>
    </row>
    <row r="21" spans="1:12" ht="15.6">
      <c r="A21" s="115" t="s">
        <v>81</v>
      </c>
      <c r="B21" s="10">
        <v>109</v>
      </c>
      <c r="C21" s="111" t="s">
        <v>22</v>
      </c>
      <c r="D21" s="111" t="s">
        <v>22</v>
      </c>
      <c r="E21" s="111" t="s">
        <v>22</v>
      </c>
      <c r="F21" s="111" t="s">
        <v>22</v>
      </c>
      <c r="G21" s="111" t="s">
        <v>22</v>
      </c>
      <c r="H21" s="111" t="s">
        <v>22</v>
      </c>
    </row>
    <row r="22" spans="1:12" ht="15.6">
      <c r="A22" s="115" t="s">
        <v>76</v>
      </c>
      <c r="B22" s="10">
        <v>0</v>
      </c>
      <c r="C22" s="110">
        <v>15</v>
      </c>
      <c r="D22" s="106">
        <v>15</v>
      </c>
      <c r="E22" s="107">
        <f>(C22-D22)/C22</f>
        <v>0</v>
      </c>
      <c r="F22" s="106">
        <v>7</v>
      </c>
      <c r="G22" s="106">
        <v>8</v>
      </c>
      <c r="H22" s="107">
        <f>(G22/D22)</f>
        <v>0.53333333333333333</v>
      </c>
    </row>
    <row r="23" spans="1:12" ht="15.6">
      <c r="A23" s="115" t="s">
        <v>82</v>
      </c>
      <c r="B23" s="10">
        <v>133</v>
      </c>
      <c r="C23" s="111" t="s">
        <v>22</v>
      </c>
      <c r="D23" s="111" t="s">
        <v>22</v>
      </c>
      <c r="E23" s="111" t="s">
        <v>22</v>
      </c>
      <c r="F23" s="111" t="s">
        <v>22</v>
      </c>
      <c r="G23" s="111" t="s">
        <v>22</v>
      </c>
      <c r="H23" s="111" t="s">
        <v>22</v>
      </c>
    </row>
    <row r="24" spans="1:12" ht="15.6">
      <c r="A24" s="115" t="s">
        <v>83</v>
      </c>
      <c r="B24" s="10">
        <v>84</v>
      </c>
      <c r="C24" s="111" t="s">
        <v>22</v>
      </c>
      <c r="D24" s="111" t="s">
        <v>22</v>
      </c>
      <c r="E24" s="111" t="s">
        <v>22</v>
      </c>
      <c r="F24" s="111" t="s">
        <v>22</v>
      </c>
      <c r="G24" s="111" t="s">
        <v>22</v>
      </c>
      <c r="H24" s="111" t="s">
        <v>22</v>
      </c>
    </row>
    <row r="25" spans="1:12" ht="15.6">
      <c r="A25" s="115" t="s">
        <v>87</v>
      </c>
      <c r="B25" s="10">
        <v>129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</row>
    <row r="26" spans="1:12" ht="15.6">
      <c r="A26" s="115" t="s">
        <v>223</v>
      </c>
      <c r="B26" s="26" t="s">
        <v>22</v>
      </c>
      <c r="C26" s="110">
        <v>133</v>
      </c>
      <c r="D26" s="106">
        <v>129</v>
      </c>
      <c r="E26" s="107">
        <f>(C26-D26)/C26</f>
        <v>3.007518796992481E-2</v>
      </c>
      <c r="F26" s="106">
        <v>66</v>
      </c>
      <c r="G26" s="106">
        <v>63</v>
      </c>
      <c r="H26" s="107">
        <f>(G26/D26)</f>
        <v>0.48837209302325579</v>
      </c>
    </row>
    <row r="27" spans="1:12" ht="15.6">
      <c r="A27" s="115" t="s">
        <v>224</v>
      </c>
      <c r="B27" s="26" t="s">
        <v>22</v>
      </c>
      <c r="C27" s="110">
        <v>46</v>
      </c>
      <c r="D27" s="106">
        <v>48</v>
      </c>
      <c r="E27" s="107">
        <v>0</v>
      </c>
      <c r="F27" s="106">
        <v>25</v>
      </c>
      <c r="G27" s="106">
        <v>23</v>
      </c>
      <c r="H27" s="107">
        <f>(G27/D27)</f>
        <v>0.47916666666666669</v>
      </c>
    </row>
    <row r="28" spans="1:12" ht="15.6">
      <c r="A28" s="115" t="s">
        <v>225</v>
      </c>
      <c r="B28" s="26" t="s">
        <v>22</v>
      </c>
      <c r="C28" s="110">
        <v>78</v>
      </c>
      <c r="D28" s="106">
        <v>64</v>
      </c>
      <c r="E28" s="107">
        <f>(C28-D28)/C28</f>
        <v>0.17948717948717949</v>
      </c>
      <c r="F28" s="106">
        <v>30</v>
      </c>
      <c r="G28" s="106">
        <v>34</v>
      </c>
      <c r="H28" s="107">
        <f>(G28/D28)</f>
        <v>0.53125</v>
      </c>
    </row>
    <row r="29" spans="1:12" ht="15.6">
      <c r="A29" s="115" t="s">
        <v>206</v>
      </c>
      <c r="B29" s="26">
        <f>SUM(B20:B25)</f>
        <v>495</v>
      </c>
      <c r="C29" s="108">
        <f>SUM(C20:C28)</f>
        <v>291</v>
      </c>
      <c r="D29" s="108">
        <f>SUM(D20:D28)</f>
        <v>275</v>
      </c>
      <c r="E29" s="107">
        <f>(C29-D29)/C29</f>
        <v>5.4982817869415807E-2</v>
      </c>
      <c r="F29" s="108">
        <f>SUM(F20:F28)</f>
        <v>136</v>
      </c>
      <c r="G29" s="108">
        <f>SUM(G20:G28)</f>
        <v>139</v>
      </c>
      <c r="H29" s="107">
        <f>(G29/D29)</f>
        <v>0.50545454545454549</v>
      </c>
    </row>
    <row r="31" spans="1:12">
      <c r="B31" s="101" t="s">
        <v>309</v>
      </c>
      <c r="C31" s="104" t="s">
        <v>306</v>
      </c>
      <c r="D31" t="s">
        <v>310</v>
      </c>
    </row>
    <row r="32" spans="1:12">
      <c r="A32" s="115" t="s">
        <v>97</v>
      </c>
      <c r="B32" s="101">
        <v>3</v>
      </c>
      <c r="C32" s="101"/>
      <c r="D32" s="101">
        <f t="shared" ref="D32:D42" si="1">IF(C32="NA",B32,B32-C32)</f>
        <v>3</v>
      </c>
    </row>
    <row r="33" spans="1:7">
      <c r="A33" s="115" t="s">
        <v>85</v>
      </c>
      <c r="B33" s="101">
        <v>20</v>
      </c>
      <c r="C33" s="101">
        <f t="shared" ref="C33:C42" si="2">F20</f>
        <v>8</v>
      </c>
      <c r="D33" s="101">
        <f t="shared" si="1"/>
        <v>12</v>
      </c>
    </row>
    <row r="34" spans="1:7">
      <c r="A34" s="115" t="s">
        <v>81</v>
      </c>
      <c r="B34" s="101">
        <v>188</v>
      </c>
      <c r="C34" s="101" t="str">
        <f t="shared" si="2"/>
        <v>NA</v>
      </c>
      <c r="D34" s="101">
        <f t="shared" si="1"/>
        <v>188</v>
      </c>
    </row>
    <row r="35" spans="1:7">
      <c r="A35" s="115" t="s">
        <v>76</v>
      </c>
      <c r="B35" s="101">
        <v>65</v>
      </c>
      <c r="C35" s="101">
        <f t="shared" si="2"/>
        <v>7</v>
      </c>
      <c r="D35" s="101">
        <f t="shared" si="1"/>
        <v>58</v>
      </c>
    </row>
    <row r="36" spans="1:7">
      <c r="A36" s="115" t="s">
        <v>82</v>
      </c>
      <c r="B36" s="101">
        <v>1567</v>
      </c>
      <c r="C36" s="101" t="str">
        <f t="shared" si="2"/>
        <v>NA</v>
      </c>
      <c r="D36" s="101">
        <f t="shared" si="1"/>
        <v>1567</v>
      </c>
    </row>
    <row r="37" spans="1:7">
      <c r="A37" s="115" t="s">
        <v>83</v>
      </c>
      <c r="B37" s="101"/>
      <c r="C37" s="101" t="str">
        <f t="shared" si="2"/>
        <v>NA</v>
      </c>
      <c r="D37" s="101">
        <f t="shared" si="1"/>
        <v>0</v>
      </c>
      <c r="F37" t="s">
        <v>309</v>
      </c>
    </row>
    <row r="38" spans="1:7">
      <c r="A38" s="115" t="s">
        <v>87</v>
      </c>
      <c r="B38" s="101">
        <v>0</v>
      </c>
      <c r="C38" s="101">
        <f t="shared" si="2"/>
        <v>0</v>
      </c>
      <c r="D38" s="101">
        <f t="shared" si="1"/>
        <v>0</v>
      </c>
    </row>
    <row r="39" spans="1:7">
      <c r="A39" s="115" t="s">
        <v>223</v>
      </c>
      <c r="B39" s="101">
        <v>264</v>
      </c>
      <c r="C39" s="101">
        <f t="shared" si="2"/>
        <v>66</v>
      </c>
      <c r="D39" s="101">
        <f t="shared" si="1"/>
        <v>198</v>
      </c>
    </row>
    <row r="40" spans="1:7">
      <c r="A40" s="115" t="s">
        <v>224</v>
      </c>
      <c r="B40" s="101">
        <v>56</v>
      </c>
      <c r="C40" s="101">
        <f t="shared" si="2"/>
        <v>25</v>
      </c>
      <c r="D40" s="101">
        <f t="shared" si="1"/>
        <v>31</v>
      </c>
    </row>
    <row r="41" spans="1:7">
      <c r="A41" s="115" t="s">
        <v>225</v>
      </c>
      <c r="B41" s="101">
        <v>79</v>
      </c>
      <c r="C41" s="101">
        <f t="shared" si="2"/>
        <v>30</v>
      </c>
      <c r="D41" s="101">
        <f t="shared" si="1"/>
        <v>49</v>
      </c>
    </row>
    <row r="42" spans="1:7">
      <c r="A42" s="115" t="s">
        <v>206</v>
      </c>
      <c r="B42" s="101">
        <f>SUM(B33:B41)</f>
        <v>2239</v>
      </c>
      <c r="C42" s="101">
        <f t="shared" si="2"/>
        <v>136</v>
      </c>
      <c r="D42" s="101">
        <f t="shared" si="1"/>
        <v>2103</v>
      </c>
    </row>
    <row r="45" spans="1:7">
      <c r="B45" s="321" t="s">
        <v>311</v>
      </c>
      <c r="C45" s="321"/>
      <c r="D45" s="321"/>
      <c r="E45" s="321"/>
      <c r="F45" s="321"/>
    </row>
    <row r="46" spans="1:7">
      <c r="B46" s="103" t="s">
        <v>312</v>
      </c>
      <c r="C46" s="103" t="s">
        <v>313</v>
      </c>
      <c r="D46" s="103" t="s">
        <v>314</v>
      </c>
      <c r="E46" s="103" t="s">
        <v>315</v>
      </c>
      <c r="F46" s="103" t="s">
        <v>316</v>
      </c>
      <c r="G46" s="106" t="s">
        <v>317</v>
      </c>
    </row>
    <row r="47" spans="1:7">
      <c r="A47" s="115" t="s">
        <v>85</v>
      </c>
      <c r="B47" s="119">
        <v>1</v>
      </c>
      <c r="C47" s="119">
        <v>1</v>
      </c>
      <c r="D47" s="119">
        <v>1</v>
      </c>
      <c r="E47" s="119">
        <v>1</v>
      </c>
      <c r="F47" s="119">
        <v>1</v>
      </c>
      <c r="G47" s="106">
        <f>(B47*$B$56+C47*$C$56+D47*$D$56+E47*$E$56+F47*$F$56)</f>
        <v>19</v>
      </c>
    </row>
    <row r="48" spans="1:7">
      <c r="A48" s="115" t="s">
        <v>81</v>
      </c>
      <c r="B48" s="106" t="s">
        <v>22</v>
      </c>
      <c r="C48" s="106" t="s">
        <v>22</v>
      </c>
      <c r="D48" s="106" t="s">
        <v>22</v>
      </c>
      <c r="E48" s="106" t="s">
        <v>22</v>
      </c>
      <c r="F48" s="106" t="s">
        <v>22</v>
      </c>
      <c r="G48" s="106" t="s">
        <v>22</v>
      </c>
    </row>
    <row r="49" spans="1:7">
      <c r="A49" s="115" t="s">
        <v>76</v>
      </c>
      <c r="B49" s="106" t="s">
        <v>22</v>
      </c>
      <c r="C49" s="120">
        <v>1</v>
      </c>
      <c r="D49" s="120">
        <v>1</v>
      </c>
      <c r="E49" s="120">
        <v>1</v>
      </c>
      <c r="F49" s="120">
        <v>1</v>
      </c>
      <c r="G49" s="106">
        <f>(C49*$C$56+D49*$D$56+E49*$E$56+F49*$F$56)</f>
        <v>15</v>
      </c>
    </row>
    <row r="50" spans="1:7">
      <c r="A50" s="115" t="s">
        <v>82</v>
      </c>
      <c r="B50" s="106" t="s">
        <v>22</v>
      </c>
      <c r="C50" s="106" t="s">
        <v>22</v>
      </c>
      <c r="D50" s="106" t="s">
        <v>22</v>
      </c>
      <c r="E50" s="106" t="s">
        <v>22</v>
      </c>
      <c r="F50" s="106" t="s">
        <v>22</v>
      </c>
      <c r="G50" s="106" t="s">
        <v>22</v>
      </c>
    </row>
    <row r="51" spans="1:7">
      <c r="A51" s="115" t="s">
        <v>83</v>
      </c>
      <c r="B51" s="106" t="s">
        <v>22</v>
      </c>
      <c r="C51" s="106" t="s">
        <v>22</v>
      </c>
      <c r="D51" s="106" t="s">
        <v>22</v>
      </c>
      <c r="E51" s="106" t="s">
        <v>22</v>
      </c>
      <c r="F51" s="106" t="s">
        <v>22</v>
      </c>
      <c r="G51" s="106" t="s">
        <v>22</v>
      </c>
    </row>
    <row r="52" spans="1:7">
      <c r="A52" s="115" t="s">
        <v>87</v>
      </c>
      <c r="B52" s="106" t="s">
        <v>22</v>
      </c>
      <c r="C52" s="106" t="s">
        <v>22</v>
      </c>
      <c r="D52" s="106" t="s">
        <v>22</v>
      </c>
      <c r="E52" s="106" t="s">
        <v>22</v>
      </c>
      <c r="F52" s="106" t="s">
        <v>22</v>
      </c>
      <c r="G52" s="106" t="s">
        <v>22</v>
      </c>
    </row>
    <row r="53" spans="1:7">
      <c r="A53" s="115" t="s">
        <v>223</v>
      </c>
      <c r="B53" s="121">
        <v>7</v>
      </c>
      <c r="C53" s="121">
        <v>7</v>
      </c>
      <c r="D53" s="121">
        <v>7</v>
      </c>
      <c r="E53" s="121">
        <v>7</v>
      </c>
      <c r="F53" s="121">
        <v>7</v>
      </c>
      <c r="G53" s="106">
        <f>(B53*$B$56+C53*$C$56+D53*$D$56+E53*$E$56+F53*$F$56)</f>
        <v>133</v>
      </c>
    </row>
    <row r="54" spans="1:7">
      <c r="A54" s="115" t="s">
        <v>224</v>
      </c>
      <c r="B54" s="122">
        <v>2</v>
      </c>
      <c r="C54" s="123"/>
      <c r="D54" s="123">
        <v>4</v>
      </c>
      <c r="E54" s="123">
        <v>2</v>
      </c>
      <c r="F54" s="123">
        <v>4</v>
      </c>
      <c r="G54" s="106">
        <f>(B54*$B$56+C54*$C$56+D54*$D$56+E54*$E$56+F54*$F$56)</f>
        <v>46</v>
      </c>
    </row>
    <row r="55" spans="1:7">
      <c r="A55" s="115" t="s">
        <v>225</v>
      </c>
      <c r="B55" s="124">
        <v>5</v>
      </c>
      <c r="C55" s="124">
        <v>4</v>
      </c>
      <c r="D55" s="124">
        <v>4</v>
      </c>
      <c r="E55" s="124">
        <v>2</v>
      </c>
      <c r="F55" s="124">
        <v>4</v>
      </c>
      <c r="G55" s="106">
        <f>(B55*$B$56+C55*$C$56+D55*$D$56+E55*$E$56+F55*$F$56)</f>
        <v>74</v>
      </c>
    </row>
    <row r="56" spans="1:7">
      <c r="A56" t="s">
        <v>318</v>
      </c>
      <c r="B56" s="101">
        <v>4</v>
      </c>
      <c r="C56" s="101">
        <v>4</v>
      </c>
      <c r="D56" s="101">
        <v>4</v>
      </c>
      <c r="E56" s="101">
        <v>3</v>
      </c>
      <c r="F56" s="101">
        <v>4</v>
      </c>
    </row>
    <row r="59" spans="1:7" ht="26.1" customHeight="1"/>
    <row r="60" spans="1:7" ht="26.1" customHeight="1"/>
    <row r="61" spans="1:7" ht="26.1" customHeight="1"/>
    <row r="62" spans="1:7" ht="26.1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45"/>
  <cols>
    <col min="1" max="1" width="46.28515625" customWidth="1"/>
    <col min="2" max="2" width="15.85546875" customWidth="1"/>
    <col min="4" max="4" width="9.42578125" bestFit="1" customWidth="1"/>
    <col min="6" max="6" width="49.85546875" customWidth="1"/>
    <col min="9" max="9" width="16.140625" bestFit="1" customWidth="1"/>
  </cols>
  <sheetData>
    <row r="1" spans="1:9">
      <c r="A1" s="91" t="s">
        <v>319</v>
      </c>
      <c r="B1" s="92">
        <v>2</v>
      </c>
      <c r="F1" s="91" t="s">
        <v>319</v>
      </c>
      <c r="G1" s="92">
        <v>6</v>
      </c>
    </row>
    <row r="2" spans="1:9">
      <c r="A2" s="91" t="s">
        <v>320</v>
      </c>
      <c r="B2" s="92">
        <v>67</v>
      </c>
      <c r="E2">
        <f>SUM(B1:B19)-SUM(B4,B13,B14)</f>
        <v>13968</v>
      </c>
      <c r="F2" s="91" t="s">
        <v>320</v>
      </c>
      <c r="G2" s="92">
        <v>27</v>
      </c>
    </row>
    <row r="3" spans="1:9">
      <c r="A3" s="91" t="s">
        <v>321</v>
      </c>
      <c r="B3" s="92">
        <v>19</v>
      </c>
      <c r="D3" t="s">
        <v>12</v>
      </c>
      <c r="F3" s="91" t="s">
        <v>321</v>
      </c>
      <c r="G3" s="92">
        <v>25</v>
      </c>
      <c r="I3">
        <f>SUM(G1:G19)</f>
        <v>16027</v>
      </c>
    </row>
    <row r="4" spans="1:9">
      <c r="A4" s="91" t="s">
        <v>322</v>
      </c>
      <c r="B4" s="92">
        <v>149</v>
      </c>
      <c r="D4">
        <f>SUM(B1:B19)</f>
        <v>14916</v>
      </c>
      <c r="F4" s="91" t="s">
        <v>322</v>
      </c>
      <c r="G4" s="92">
        <v>177</v>
      </c>
      <c r="I4">
        <f>SUM(G4,G14,G13)</f>
        <v>1013</v>
      </c>
    </row>
    <row r="5" spans="1:9">
      <c r="A5" s="91" t="s">
        <v>323</v>
      </c>
      <c r="B5" s="92">
        <v>52</v>
      </c>
      <c r="D5">
        <f>B4+B13+B14</f>
        <v>948</v>
      </c>
      <c r="F5" s="91" t="s">
        <v>323</v>
      </c>
      <c r="G5" s="92">
        <v>47</v>
      </c>
      <c r="I5" s="93">
        <f>I3-I4</f>
        <v>15014</v>
      </c>
    </row>
    <row r="6" spans="1:9">
      <c r="A6" s="91" t="s">
        <v>324</v>
      </c>
      <c r="B6" s="92">
        <v>1473</v>
      </c>
      <c r="D6" s="93">
        <f>D4-D5</f>
        <v>13968</v>
      </c>
      <c r="F6" s="91" t="s">
        <v>324</v>
      </c>
      <c r="G6" s="92">
        <v>1852</v>
      </c>
    </row>
    <row r="7" spans="1:9">
      <c r="A7" s="91" t="s">
        <v>325</v>
      </c>
      <c r="B7" s="92">
        <v>319</v>
      </c>
      <c r="F7" s="91" t="s">
        <v>325</v>
      </c>
      <c r="G7" s="92">
        <v>344</v>
      </c>
    </row>
    <row r="8" spans="1:9">
      <c r="A8" s="91" t="s">
        <v>326</v>
      </c>
      <c r="B8" s="92">
        <v>66</v>
      </c>
      <c r="F8" s="91" t="s">
        <v>326</v>
      </c>
      <c r="G8" s="92">
        <v>64</v>
      </c>
    </row>
    <row r="9" spans="1:9">
      <c r="A9" s="91" t="s">
        <v>327</v>
      </c>
      <c r="B9" s="92">
        <v>79</v>
      </c>
      <c r="F9" s="91" t="s">
        <v>327</v>
      </c>
      <c r="G9" s="92">
        <v>49</v>
      </c>
    </row>
    <row r="10" spans="1:9">
      <c r="A10" s="91" t="s">
        <v>319</v>
      </c>
      <c r="B10" s="92">
        <v>13</v>
      </c>
      <c r="F10" s="91" t="s">
        <v>319</v>
      </c>
      <c r="G10" s="92">
        <v>23</v>
      </c>
    </row>
    <row r="11" spans="1:9">
      <c r="A11" s="91" t="s">
        <v>320</v>
      </c>
      <c r="B11" s="92">
        <v>28</v>
      </c>
      <c r="F11" s="91" t="s">
        <v>320</v>
      </c>
      <c r="G11" s="92">
        <v>26</v>
      </c>
    </row>
    <row r="12" spans="1:9">
      <c r="A12" s="91" t="s">
        <v>321</v>
      </c>
      <c r="B12" s="92">
        <v>257</v>
      </c>
      <c r="F12" s="91" t="s">
        <v>321</v>
      </c>
      <c r="G12" s="92">
        <v>282</v>
      </c>
    </row>
    <row r="13" spans="1:9">
      <c r="A13" s="91" t="s">
        <v>322</v>
      </c>
      <c r="B13" s="92">
        <v>760</v>
      </c>
      <c r="F13" s="91" t="s">
        <v>322</v>
      </c>
      <c r="G13" s="92">
        <v>817</v>
      </c>
    </row>
    <row r="14" spans="1:9">
      <c r="A14" s="91" t="s">
        <v>328</v>
      </c>
      <c r="B14" s="92">
        <v>39</v>
      </c>
      <c r="F14" s="91" t="s">
        <v>328</v>
      </c>
      <c r="G14" s="92">
        <v>19</v>
      </c>
    </row>
    <row r="15" spans="1:9">
      <c r="A15" s="91" t="s">
        <v>323</v>
      </c>
      <c r="B15" s="92">
        <v>177</v>
      </c>
      <c r="F15" s="91" t="s">
        <v>323</v>
      </c>
      <c r="G15" s="92">
        <v>185</v>
      </c>
    </row>
    <row r="16" spans="1:9">
      <c r="A16" s="91" t="s">
        <v>324</v>
      </c>
      <c r="B16" s="92">
        <v>4408</v>
      </c>
      <c r="F16" s="91" t="s">
        <v>324</v>
      </c>
      <c r="G16" s="92">
        <v>4736</v>
      </c>
    </row>
    <row r="17" spans="1:7">
      <c r="A17" s="91" t="s">
        <v>325</v>
      </c>
      <c r="B17" s="92">
        <v>6814</v>
      </c>
      <c r="F17" s="91" t="s">
        <v>325</v>
      </c>
      <c r="G17" s="92">
        <v>7166</v>
      </c>
    </row>
    <row r="18" spans="1:7">
      <c r="A18" s="91" t="s">
        <v>326</v>
      </c>
      <c r="B18" s="92">
        <v>136</v>
      </c>
      <c r="F18" s="91" t="s">
        <v>326</v>
      </c>
      <c r="G18" s="92">
        <v>133</v>
      </c>
    </row>
    <row r="19" spans="1:7">
      <c r="A19" s="91" t="s">
        <v>327</v>
      </c>
      <c r="B19" s="92">
        <v>58</v>
      </c>
      <c r="F19" s="91" t="s">
        <v>327</v>
      </c>
      <c r="G19" s="92">
        <v>49</v>
      </c>
    </row>
    <row r="41" spans="1:1">
      <c r="A41" s="97">
        <f t="shared" ref="A41" si="0">+A42+A43</f>
        <v>274</v>
      </c>
    </row>
    <row r="42" spans="1:1">
      <c r="A42" s="98">
        <v>0</v>
      </c>
    </row>
    <row r="43" spans="1:1">
      <c r="A43" s="98">
        <v>274</v>
      </c>
    </row>
    <row r="44" spans="1:1">
      <c r="A44" s="98">
        <f t="shared" ref="A44" si="1">+A45+A46</f>
        <v>727</v>
      </c>
    </row>
    <row r="45" spans="1:1">
      <c r="A45" s="98">
        <f>26+64</f>
        <v>90</v>
      </c>
    </row>
    <row r="46" spans="1:1">
      <c r="A46" s="98">
        <v>637</v>
      </c>
    </row>
    <row r="47" spans="1:1">
      <c r="A47" s="98">
        <f t="shared" ref="A47" si="2">+A48+A49+A50</f>
        <v>56</v>
      </c>
    </row>
    <row r="48" spans="1:1">
      <c r="A48" s="98">
        <v>56</v>
      </c>
    </row>
    <row r="49" spans="1:1">
      <c r="A49" s="98">
        <v>0</v>
      </c>
    </row>
    <row r="50" spans="1:1">
      <c r="A50" s="98"/>
    </row>
    <row r="51" spans="1:1">
      <c r="A51" s="98"/>
    </row>
    <row r="52" spans="1:1">
      <c r="A52" s="98">
        <f t="shared" ref="A52" si="3">+A53+A54</f>
        <v>21</v>
      </c>
    </row>
    <row r="53" spans="1:1">
      <c r="A53" s="98">
        <v>0</v>
      </c>
    </row>
    <row r="54" spans="1:1">
      <c r="A54" s="98">
        <v>21</v>
      </c>
    </row>
    <row r="55" spans="1:1">
      <c r="A55" s="98">
        <f t="shared" ref="A55" si="4">+A56+A57</f>
        <v>121</v>
      </c>
    </row>
    <row r="56" spans="1:1">
      <c r="A56" s="98"/>
    </row>
    <row r="57" spans="1:1">
      <c r="A57" s="98">
        <v>121</v>
      </c>
    </row>
    <row r="58" spans="1:1">
      <c r="A58" s="98">
        <f t="shared" ref="A58" si="5">+A59+A60</f>
        <v>12</v>
      </c>
    </row>
    <row r="59" spans="1:1">
      <c r="A59" s="98">
        <v>0</v>
      </c>
    </row>
    <row r="60" spans="1:1">
      <c r="A60" s="98">
        <v>12</v>
      </c>
    </row>
    <row r="61" spans="1:1">
      <c r="A61" s="98">
        <f t="shared" ref="A61" si="6">+A62+A63</f>
        <v>21</v>
      </c>
    </row>
    <row r="62" spans="1:1">
      <c r="A62" s="98">
        <v>0</v>
      </c>
    </row>
    <row r="63" spans="1:1">
      <c r="A63" s="98">
        <v>21</v>
      </c>
    </row>
    <row r="64" spans="1:1">
      <c r="A64" s="98">
        <f t="shared" ref="A64" si="7">+A65+A66</f>
        <v>16</v>
      </c>
    </row>
    <row r="65" spans="1:1">
      <c r="A65" s="98">
        <v>0</v>
      </c>
    </row>
    <row r="66" spans="1:1">
      <c r="A66" s="98">
        <v>16</v>
      </c>
    </row>
    <row r="67" spans="1:1">
      <c r="A67" s="98">
        <f t="shared" ref="A67" si="8">+A68+A69</f>
        <v>19</v>
      </c>
    </row>
    <row r="68" spans="1:1">
      <c r="A68" s="98">
        <v>0</v>
      </c>
    </row>
    <row r="69" spans="1:1">
      <c r="A69" s="98">
        <v>19</v>
      </c>
    </row>
    <row r="70" spans="1:1">
      <c r="A70" s="98">
        <f t="shared" ref="A70" si="9">+A71+A72</f>
        <v>8</v>
      </c>
    </row>
    <row r="71" spans="1:1">
      <c r="A71" s="98">
        <v>1</v>
      </c>
    </row>
    <row r="72" spans="1:1">
      <c r="A72" s="98">
        <v>7</v>
      </c>
    </row>
    <row r="73" spans="1:1">
      <c r="A73" s="98">
        <f t="shared" ref="A73" si="10">+A74+A75</f>
        <v>490</v>
      </c>
    </row>
    <row r="74" spans="1:1">
      <c r="A74" s="98">
        <f>208-A45-A48-A71</f>
        <v>61</v>
      </c>
    </row>
    <row r="75" spans="1:1">
      <c r="A75" s="98">
        <v>429</v>
      </c>
    </row>
    <row r="76" spans="1:1">
      <c r="A76" s="98"/>
    </row>
    <row r="77" spans="1:1">
      <c r="A77" s="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45"/>
  <sheetData>
    <row r="2" spans="1:9">
      <c r="A2" s="321" t="s">
        <v>329</v>
      </c>
      <c r="B2" s="321"/>
      <c r="C2" s="321"/>
    </row>
    <row r="3" spans="1:9">
      <c r="A3" t="s">
        <v>330</v>
      </c>
      <c r="D3" s="102">
        <f>SUM('Produção 2026'!$D$8:$M$8,'Produção 2026'!$C$8)</f>
        <v>2389</v>
      </c>
      <c r="I3" t="s">
        <v>331</v>
      </c>
    </row>
    <row r="4" spans="1:9">
      <c r="A4" t="s">
        <v>332</v>
      </c>
      <c r="D4" s="102">
        <v>13113</v>
      </c>
      <c r="I4" t="s">
        <v>333</v>
      </c>
    </row>
    <row r="5" spans="1:9">
      <c r="A5" t="s">
        <v>334</v>
      </c>
      <c r="D5" s="102">
        <v>794053</v>
      </c>
      <c r="I5" t="s">
        <v>335</v>
      </c>
    </row>
    <row r="6" spans="1:9">
      <c r="A6" t="s">
        <v>336</v>
      </c>
      <c r="D6" s="102">
        <v>11374</v>
      </c>
      <c r="I6" t="s">
        <v>337</v>
      </c>
    </row>
    <row r="7" spans="1:9">
      <c r="A7" t="s">
        <v>338</v>
      </c>
      <c r="D7" s="102">
        <v>24062</v>
      </c>
      <c r="I7" t="s">
        <v>339</v>
      </c>
    </row>
    <row r="8" spans="1:9">
      <c r="A8" t="s">
        <v>340</v>
      </c>
      <c r="D8" s="102">
        <v>63225</v>
      </c>
      <c r="E8" t="s">
        <v>341</v>
      </c>
      <c r="I8" t="s">
        <v>342</v>
      </c>
    </row>
    <row r="9" spans="1:9">
      <c r="A9" t="s">
        <v>340</v>
      </c>
      <c r="D9">
        <v>102049</v>
      </c>
      <c r="E9" t="s">
        <v>343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45"/>
  <cols>
    <col min="1" max="1" width="46.42578125" bestFit="1" customWidth="1"/>
    <col min="2" max="2" width="22.5703125" customWidth="1"/>
    <col min="3" max="8" width="13.7109375" customWidth="1"/>
  </cols>
  <sheetData>
    <row r="4" spans="1:8">
      <c r="B4" s="104" t="s">
        <v>302</v>
      </c>
      <c r="C4" s="112" t="s">
        <v>344</v>
      </c>
      <c r="D4" s="104" t="s">
        <v>304</v>
      </c>
      <c r="E4" s="104" t="s">
        <v>305</v>
      </c>
      <c r="F4" s="104" t="s">
        <v>345</v>
      </c>
      <c r="G4" s="104" t="s">
        <v>307</v>
      </c>
      <c r="H4" s="105" t="s">
        <v>308</v>
      </c>
    </row>
    <row r="5" spans="1:8" ht="15.6">
      <c r="A5" s="109" t="s">
        <v>85</v>
      </c>
      <c r="B5" s="113">
        <v>40</v>
      </c>
      <c r="C5" s="110">
        <v>19</v>
      </c>
      <c r="D5" s="106">
        <v>19</v>
      </c>
      <c r="E5" s="107">
        <f>(C5-D5)/C5</f>
        <v>0</v>
      </c>
      <c r="F5" s="106">
        <v>8</v>
      </c>
      <c r="G5" s="106">
        <v>11</v>
      </c>
      <c r="H5" s="107">
        <f>(G5/D5)</f>
        <v>0.57894736842105265</v>
      </c>
    </row>
    <row r="6" spans="1:8" ht="15.6">
      <c r="A6" s="109" t="s">
        <v>81</v>
      </c>
      <c r="B6" s="10">
        <v>109</v>
      </c>
      <c r="C6" s="111" t="s">
        <v>22</v>
      </c>
      <c r="D6" s="111" t="s">
        <v>22</v>
      </c>
      <c r="E6" s="111" t="s">
        <v>22</v>
      </c>
      <c r="F6" s="111" t="s">
        <v>22</v>
      </c>
      <c r="G6" s="111" t="s">
        <v>22</v>
      </c>
      <c r="H6" s="111" t="s">
        <v>22</v>
      </c>
    </row>
    <row r="7" spans="1:8" ht="15.6">
      <c r="A7" s="109" t="s">
        <v>76</v>
      </c>
      <c r="B7" s="10">
        <v>0</v>
      </c>
      <c r="C7" s="110">
        <v>15</v>
      </c>
      <c r="D7" s="106">
        <v>15</v>
      </c>
      <c r="E7" s="107">
        <f>(C7-D7)/C7</f>
        <v>0</v>
      </c>
      <c r="F7" s="106">
        <v>7</v>
      </c>
      <c r="G7" s="106">
        <v>8</v>
      </c>
      <c r="H7" s="107">
        <f>(G7/D7)</f>
        <v>0.53333333333333333</v>
      </c>
    </row>
    <row r="8" spans="1:8" ht="15.6">
      <c r="A8" s="109" t="s">
        <v>82</v>
      </c>
      <c r="B8" s="10">
        <v>133</v>
      </c>
      <c r="C8" s="111" t="s">
        <v>22</v>
      </c>
      <c r="D8" s="111" t="s">
        <v>22</v>
      </c>
      <c r="E8" s="111" t="s">
        <v>22</v>
      </c>
      <c r="F8" s="111" t="s">
        <v>22</v>
      </c>
      <c r="G8" s="111" t="s">
        <v>22</v>
      </c>
      <c r="H8" s="111" t="s">
        <v>22</v>
      </c>
    </row>
    <row r="9" spans="1:8" ht="15.6">
      <c r="A9" s="109" t="s">
        <v>83</v>
      </c>
      <c r="B9" s="10">
        <v>84</v>
      </c>
      <c r="C9" s="111" t="s">
        <v>22</v>
      </c>
      <c r="D9" s="111" t="s">
        <v>22</v>
      </c>
      <c r="E9" s="111" t="s">
        <v>22</v>
      </c>
      <c r="F9" s="111" t="s">
        <v>22</v>
      </c>
      <c r="G9" s="111" t="s">
        <v>22</v>
      </c>
      <c r="H9" s="111" t="s">
        <v>22</v>
      </c>
    </row>
    <row r="10" spans="1:8" ht="15.6">
      <c r="A10" s="109" t="s">
        <v>87</v>
      </c>
      <c r="B10" s="10">
        <v>129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ht="15.6">
      <c r="A11" s="109" t="s">
        <v>223</v>
      </c>
      <c r="B11" s="26" t="s">
        <v>22</v>
      </c>
      <c r="C11" s="110">
        <v>133</v>
      </c>
      <c r="D11" s="106">
        <v>129</v>
      </c>
      <c r="E11" s="107">
        <f>(C11-D11)/C11</f>
        <v>3.007518796992481E-2</v>
      </c>
      <c r="F11" s="106">
        <v>66</v>
      </c>
      <c r="G11" s="106">
        <v>63</v>
      </c>
      <c r="H11" s="107">
        <f>(G11/D11)</f>
        <v>0.48837209302325579</v>
      </c>
    </row>
    <row r="12" spans="1:8" ht="15.6">
      <c r="A12" s="109" t="s">
        <v>224</v>
      </c>
      <c r="B12" s="26" t="s">
        <v>22</v>
      </c>
      <c r="C12" s="110">
        <v>46</v>
      </c>
      <c r="D12" s="106">
        <v>48</v>
      </c>
      <c r="E12" s="107">
        <v>0</v>
      </c>
      <c r="F12" s="106">
        <v>25</v>
      </c>
      <c r="G12" s="106">
        <v>23</v>
      </c>
      <c r="H12" s="107">
        <f>(G12/D12)</f>
        <v>0.47916666666666669</v>
      </c>
    </row>
    <row r="13" spans="1:8" ht="15.6">
      <c r="A13" s="109" t="s">
        <v>225</v>
      </c>
      <c r="B13" s="26" t="s">
        <v>22</v>
      </c>
      <c r="C13" s="110">
        <v>78</v>
      </c>
      <c r="D13" s="106">
        <v>64</v>
      </c>
      <c r="E13" s="107">
        <f>(C13-D13)/C13</f>
        <v>0.17948717948717949</v>
      </c>
      <c r="F13" s="106">
        <v>30</v>
      </c>
      <c r="G13" s="106">
        <v>34</v>
      </c>
      <c r="H13" s="107">
        <f>(G13/D13)</f>
        <v>0.53125</v>
      </c>
    </row>
    <row r="14" spans="1:8" ht="15.6">
      <c r="A14" s="109" t="s">
        <v>206</v>
      </c>
      <c r="B14" s="26">
        <f>SUM(B5:B10)</f>
        <v>495</v>
      </c>
      <c r="C14" s="108">
        <f>SUM(C5:C13)</f>
        <v>291</v>
      </c>
      <c r="D14" s="108">
        <f>SUM(D5:D13)</f>
        <v>275</v>
      </c>
      <c r="E14" s="107">
        <f>(C14-D14)/C14</f>
        <v>5.4982817869415807E-2</v>
      </c>
      <c r="F14" s="108">
        <f>SUM(F5:F13)</f>
        <v>136</v>
      </c>
      <c r="G14" s="108">
        <f>SUM(G5:G13)</f>
        <v>139</v>
      </c>
      <c r="H14" s="107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8C068-C867-4A48-B3AD-BADE1A66C20D}"/>
</file>

<file path=customXml/itemProps2.xml><?xml version="1.0" encoding="utf-8"?>
<ds:datastoreItem xmlns:ds="http://schemas.openxmlformats.org/officeDocument/2006/customXml" ds:itemID="{915D5104-F540-4926-869F-E13A0FA45DC9}"/>
</file>

<file path=customXml/itemProps3.xml><?xml version="1.0" encoding="utf-8"?>
<ds:datastoreItem xmlns:ds="http://schemas.openxmlformats.org/officeDocument/2006/customXml" ds:itemID="{12C6F1ED-6FB9-45D9-B07D-F215CDB06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Angela Costa Henriques de Freitas</cp:lastModifiedBy>
  <cp:revision/>
  <dcterms:created xsi:type="dcterms:W3CDTF">2025-01-24T12:50:00Z</dcterms:created>
  <dcterms:modified xsi:type="dcterms:W3CDTF">2026-04-02T17:50:05Z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